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0" windowHeight="0" activeTab="4"/>
  </bookViews>
  <sheets>
    <sheet name="Instrukcja" sheetId="1" r:id="rId1"/>
    <sheet name="Balling" sheetId="2" r:id="rId2"/>
    <sheet name="Zasolenie" sheetId="3" r:id="rId3"/>
    <sheet name="Przeliczniki" sheetId="4" r:id="rId4"/>
    <sheet name="DSB" sheetId="5" r:id="rId5"/>
  </sheets>
  <definedNames/>
  <calcPr fullCalcOnLoad="1"/>
</workbook>
</file>

<file path=xl/comments1.xml><?xml version="1.0" encoding="utf-8"?>
<comments xmlns="http://schemas.openxmlformats.org/spreadsheetml/2006/main">
  <authors>
    <author>Piotr</author>
  </authors>
  <commentList>
    <comment ref="E4" authorId="0">
      <text>
        <r>
          <rPr>
            <b/>
            <sz val="9"/>
            <rFont val="Tahoma"/>
            <family val="0"/>
          </rPr>
          <t>Piotr:</t>
        </r>
        <r>
          <rPr>
            <sz val="9"/>
            <rFont val="Tahoma"/>
            <family val="0"/>
          </rPr>
          <t xml:space="preserve">
Tu są komentarze i instrukcje.</t>
        </r>
      </text>
    </comment>
  </commentList>
</comments>
</file>

<file path=xl/comments2.xml><?xml version="1.0" encoding="utf-8"?>
<comments xmlns="http://schemas.openxmlformats.org/spreadsheetml/2006/main">
  <authors>
    <author>Piotr</author>
    <author>Bart</author>
  </authors>
  <commentList>
    <comment ref="B5" authorId="0">
      <text>
        <r>
          <rPr>
            <b/>
            <sz val="9"/>
            <rFont val="Tahoma"/>
            <family val="0"/>
          </rPr>
          <t>Piotr:</t>
        </r>
        <r>
          <rPr>
            <sz val="9"/>
            <rFont val="Tahoma"/>
            <family val="0"/>
          </rPr>
          <t xml:space="preserve">
Podstawowy preparat w metodzie Ballinga. Zalecane stężenie to 84g/l RO. Maksymalnie w 1 litrze rozpuści się niewiele więcej.</t>
        </r>
      </text>
    </comment>
    <comment ref="A5" authorId="0">
      <text>
        <r>
          <rPr>
            <b/>
            <sz val="9"/>
            <rFont val="Tahoma"/>
            <family val="0"/>
          </rPr>
          <t>Piotr:</t>
        </r>
        <r>
          <rPr>
            <sz val="9"/>
            <rFont val="Tahoma"/>
            <family val="0"/>
          </rPr>
          <t xml:space="preserve">
Informacje o stosowanych roztworach.</t>
        </r>
      </text>
    </comment>
    <comment ref="D5" authorId="0">
      <text>
        <r>
          <rPr>
            <b/>
            <sz val="9"/>
            <rFont val="Tahoma"/>
            <family val="0"/>
          </rPr>
          <t>Piotr:</t>
        </r>
        <r>
          <rPr>
            <sz val="9"/>
            <rFont val="Tahoma"/>
            <family val="0"/>
          </rPr>
          <t xml:space="preserve">
Zalecane stężenia:
CaCl2 bezwodny - 55,5g/l RO
CaCl2 * 2H2O - 73,5g/l RO
CaCl2 * 6H2O - 109,5g/l RO
Można zrobić roztwory dużo bardziej stężone.</t>
        </r>
      </text>
    </comment>
    <comment ref="F5" authorId="0">
      <text>
        <r>
          <rPr>
            <b/>
            <sz val="9"/>
            <rFont val="Tahoma"/>
            <family val="0"/>
          </rPr>
          <t>Piotr:</t>
        </r>
        <r>
          <rPr>
            <sz val="9"/>
            <rFont val="Tahoma"/>
            <family val="0"/>
          </rPr>
          <t xml:space="preserve">
W zasadzie, jeśli się używa, to
MgCl2 * 6H2O - 17g/l RO
Jak ktoś chce może domieszać sobie też MgSO4 * 7H2O, wedle uznania.</t>
        </r>
      </text>
    </comment>
    <comment ref="J8" authorId="0">
      <text>
        <r>
          <rPr>
            <b/>
            <sz val="9"/>
            <rFont val="Tahoma"/>
            <family val="0"/>
          </rPr>
          <t>Piotr:</t>
        </r>
        <r>
          <rPr>
            <sz val="9"/>
            <rFont val="Tahoma"/>
            <family val="0"/>
          </rPr>
          <t xml:space="preserve">
Sól Bez Soli (NaCl Free Salt)
Standardowo:
25g/l RO
Przyjęte zawartości pierwiastków pochodzą ze składu Natural Sea Water po odjęciu NaCl. Wartości tu wpisane mają tylko wartość informacyjną i nie należy się nimi sugerować, tylko dla bardziej dociekliwych ;-)</t>
        </r>
      </text>
    </comment>
    <comment ref="B13" authorId="0">
      <text>
        <r>
          <rPr>
            <b/>
            <sz val="9"/>
            <rFont val="Tahoma"/>
            <family val="0"/>
          </rPr>
          <t>Piotr:</t>
        </r>
        <r>
          <rPr>
            <sz val="9"/>
            <rFont val="Tahoma"/>
            <family val="0"/>
          </rPr>
          <t xml:space="preserve">
Wpisz, jakie są aktualne parametry systemu.</t>
        </r>
      </text>
    </comment>
    <comment ref="B16" authorId="0">
      <text>
        <r>
          <rPr>
            <b/>
            <sz val="9"/>
            <rFont val="Tahoma"/>
            <family val="0"/>
          </rPr>
          <t>Piotr:</t>
        </r>
        <r>
          <rPr>
            <sz val="9"/>
            <rFont val="Tahoma"/>
            <family val="0"/>
          </rPr>
          <t xml:space="preserve">
Wpisz, jakie poziomy chcesz osiągnąć.</t>
        </r>
      </text>
    </comment>
    <comment ref="B19" authorId="0">
      <text>
        <r>
          <rPr>
            <b/>
            <sz val="9"/>
            <rFont val="Tahoma"/>
            <family val="0"/>
          </rPr>
          <t>Piotr:</t>
        </r>
        <r>
          <rPr>
            <sz val="9"/>
            <rFont val="Tahoma"/>
            <family val="0"/>
          </rPr>
          <t xml:space="preserve">
Ilości skonfigurowanych wyżej roztworów, jakie należy dodać do systemu, aby osiągnąć parametry docelowe.
Pamiętaj, że im wolniej zmieniasz parametry, tym lepiej.</t>
        </r>
      </text>
    </comment>
    <comment ref="H18" authorId="0">
      <text>
        <r>
          <rPr>
            <b/>
            <sz val="9"/>
            <rFont val="Tahoma"/>
            <family val="0"/>
          </rPr>
          <t>Piotr:</t>
        </r>
        <r>
          <rPr>
            <sz val="9"/>
            <rFont val="Tahoma"/>
            <family val="0"/>
          </rPr>
          <t xml:space="preserve">
Jeśli masz już ustalone dawkowanie / dobę, a parametry rosną, lub spadają, możesz posłużyć się tym kalkulatorem.
Zmierz parametry i wpisz w tym rzędzie.</t>
        </r>
      </text>
    </comment>
    <comment ref="H19" authorId="0">
      <text>
        <r>
          <rPr>
            <b/>
            <sz val="9"/>
            <rFont val="Tahoma"/>
            <family val="0"/>
          </rPr>
          <t>Piotr:</t>
        </r>
        <r>
          <rPr>
            <sz val="9"/>
            <rFont val="Tahoma"/>
            <family val="0"/>
          </rPr>
          <t xml:space="preserve">
Wpisz, po ilu dniachi zrobiono powtórnie testy.</t>
        </r>
      </text>
    </comment>
    <comment ref="H20" authorId="0">
      <text>
        <r>
          <rPr>
            <b/>
            <sz val="9"/>
            <rFont val="Tahoma"/>
            <family val="0"/>
          </rPr>
          <t>Piotr:</t>
        </r>
        <r>
          <rPr>
            <sz val="9"/>
            <rFont val="Tahoma"/>
            <family val="0"/>
          </rPr>
          <t xml:space="preserve">
Wpisz, jakie zanotowano wyniki w powtórnym teście.</t>
        </r>
      </text>
    </comment>
    <comment ref="H21" authorId="0">
      <text>
        <r>
          <rPr>
            <b/>
            <sz val="9"/>
            <rFont val="Tahoma"/>
            <family val="0"/>
          </rPr>
          <t>Piotr:</t>
        </r>
        <r>
          <rPr>
            <sz val="9"/>
            <rFont val="Tahoma"/>
            <family val="0"/>
          </rPr>
          <t xml:space="preserve">
Jeśli (-) zmniejsz dawkowanie o określoną liczbę mililitrów/dobę, jeśli (+) - zwiększ.</t>
        </r>
      </text>
    </comment>
    <comment ref="H5" authorId="1">
      <text>
        <r>
          <rPr>
            <b/>
            <sz val="9"/>
            <rFont val="Tahoma"/>
            <family val="0"/>
          </rPr>
          <t>Bartek:</t>
        </r>
        <r>
          <rPr>
            <sz val="9"/>
            <rFont val="Tahoma"/>
            <family val="0"/>
          </rPr>
          <t xml:space="preserve">
Niektóre odmiany Metody Ballinga uwzględniają podawanie MgSO4 - nie jest to jednak konieczne.
</t>
        </r>
      </text>
    </comment>
    <comment ref="A6" authorId="1">
      <text>
        <r>
          <rPr>
            <b/>
            <sz val="9"/>
            <rFont val="Tahoma"/>
            <family val="0"/>
          </rPr>
          <t>Bartek:</t>
        </r>
        <r>
          <rPr>
            <sz val="9"/>
            <rFont val="Tahoma"/>
            <family val="0"/>
          </rPr>
          <t xml:space="preserve">
Ilość rozpuszczonej soli podczas przygotowywania roztworu
</t>
        </r>
      </text>
    </comment>
    <comment ref="A7" authorId="1">
      <text>
        <r>
          <rPr>
            <b/>
            <sz val="9"/>
            <rFont val="Tahoma"/>
            <family val="0"/>
          </rPr>
          <t>Bartek:</t>
        </r>
        <r>
          <rPr>
            <sz val="9"/>
            <rFont val="Tahoma"/>
            <family val="0"/>
          </rPr>
          <t xml:space="preserve">
Ilość użytej wody do przygotowania roztworu.
Najcześciej stosuje się:
1000ml
2000ml
5000ml
10000ml</t>
        </r>
      </text>
    </comment>
    <comment ref="A13" authorId="1">
      <text>
        <r>
          <rPr>
            <b/>
            <sz val="9"/>
            <rFont val="Tahoma"/>
            <family val="0"/>
          </rPr>
          <t xml:space="preserve">Bartek:
</t>
        </r>
        <r>
          <rPr>
            <sz val="9"/>
            <rFont val="Tahoma"/>
            <family val="0"/>
          </rPr>
          <t xml:space="preserve">Całkowita ilość wody netto w systemie 
</t>
        </r>
      </text>
    </comment>
    <comment ref="J5" authorId="1">
      <text>
        <r>
          <rPr>
            <b/>
            <sz val="9"/>
            <rFont val="Tahoma"/>
            <family val="0"/>
          </rPr>
          <t>Bartek:</t>
        </r>
        <r>
          <rPr>
            <sz val="9"/>
            <rFont val="Tahoma"/>
            <family val="0"/>
          </rPr>
          <t xml:space="preserve">
Sól Bez Soli (NaCl Free Salt)
Standardowo:
25g/l RO
</t>
        </r>
      </text>
    </comment>
    <comment ref="A8" authorId="1">
      <text>
        <r>
          <rPr>
            <b/>
            <sz val="9"/>
            <rFont val="Tahoma"/>
            <family val="0"/>
          </rPr>
          <t>Bartek:</t>
        </r>
        <r>
          <rPr>
            <sz val="9"/>
            <rFont val="Tahoma"/>
            <family val="0"/>
          </rPr>
          <t xml:space="preserve">
Zawartość poszczególnych jonów w przygotowanych płynach. Ilości podane są w miligramach na mililitr płynu.</t>
        </r>
      </text>
    </comment>
    <comment ref="L13" authorId="1">
      <text>
        <r>
          <rPr>
            <b/>
            <sz val="9"/>
            <rFont val="Tahoma"/>
            <family val="0"/>
          </rPr>
          <t>Bartek:</t>
        </r>
        <r>
          <rPr>
            <sz val="9"/>
            <rFont val="Tahoma"/>
            <family val="0"/>
          </rPr>
          <t xml:space="preserve">
Poniższe pola pokazują parametry, które otrzymalibyśmy po jednorazowym dodaniu roztworów.
Punktem odniesienia są "parametry aktualne"</t>
        </r>
      </text>
    </comment>
    <comment ref="E3" authorId="0">
      <text>
        <r>
          <rPr>
            <b/>
            <sz val="9"/>
            <rFont val="Tahoma"/>
            <family val="2"/>
          </rPr>
          <t>Piotr: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W tej sekcji należy wpisać skład preparatów, jakie używamy w metodzie Ballinga.</t>
        </r>
      </text>
    </comment>
    <comment ref="C12" authorId="0">
      <text>
        <r>
          <rPr>
            <b/>
            <sz val="9"/>
            <rFont val="Tahoma"/>
            <family val="2"/>
          </rPr>
          <t>Piotr: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W tej sekcji możesz obliczyć, ile należy wlać preparatów Ballinga, aby podnieść "Parametry aktualne" do wartości "Parametry docelowe."</t>
        </r>
      </text>
    </comment>
    <comment ref="J12" authorId="0">
      <text>
        <r>
          <rPr>
            <b/>
            <sz val="9"/>
            <rFont val="Tahoma"/>
            <family val="2"/>
          </rPr>
          <t>Piotr: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W tej sekcji możesz obliczyć, co się stanie z "Parametrami aktualnymi" po dodaniu "Ilości dodanych"</t>
        </r>
      </text>
    </comment>
    <comment ref="J16" authorId="0">
      <text>
        <r>
          <rPr>
            <b/>
            <sz val="9"/>
            <rFont val="Tahoma"/>
            <family val="2"/>
          </rPr>
          <t>Piotr: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Jeśli stosujesz regularnie metodę Ballinga, tzn. każdego dnia podajesz te same dawki, a parametry spadają lub rosną, w tej sekcji możesz obliczyć, o ile należy skorygować dzienne dozowanie, aby utrzymywać stałe parametry.</t>
        </r>
      </text>
    </comment>
  </commentList>
</comments>
</file>

<file path=xl/comments3.xml><?xml version="1.0" encoding="utf-8"?>
<comments xmlns="http://schemas.openxmlformats.org/spreadsheetml/2006/main">
  <authors>
    <author>Piotr</author>
  </authors>
  <commentList>
    <comment ref="A5" authorId="0">
      <text>
        <r>
          <rPr>
            <b/>
            <sz val="9"/>
            <rFont val="Tahoma"/>
            <family val="0"/>
          </rPr>
          <t>Piotr:</t>
        </r>
        <r>
          <rPr>
            <sz val="9"/>
            <rFont val="Tahoma"/>
            <family val="0"/>
          </rPr>
          <t xml:space="preserve">
Wpisz, zasolenie solanki, jakie chcesz otrzymać.</t>
        </r>
      </text>
    </comment>
    <comment ref="B5" authorId="0">
      <text>
        <r>
          <rPr>
            <b/>
            <sz val="9"/>
            <rFont val="Tahoma"/>
            <family val="0"/>
          </rPr>
          <t>Piotr:</t>
        </r>
        <r>
          <rPr>
            <sz val="9"/>
            <rFont val="Tahoma"/>
            <family val="0"/>
          </rPr>
          <t xml:space="preserve">
Wpisz jaką objętość solanki robisz.</t>
        </r>
      </text>
    </comment>
    <comment ref="C5" authorId="0">
      <text>
        <r>
          <rPr>
            <b/>
            <sz val="9"/>
            <rFont val="Tahoma"/>
            <family val="0"/>
          </rPr>
          <t>Piotr:</t>
        </r>
        <r>
          <rPr>
            <sz val="9"/>
            <rFont val="Tahoma"/>
            <family val="0"/>
          </rPr>
          <t xml:space="preserve">
Wpisz ile zostało wsypane soli do objętości testowanej.</t>
        </r>
      </text>
    </comment>
    <comment ref="D5" authorId="0">
      <text>
        <r>
          <rPr>
            <b/>
            <sz val="9"/>
            <rFont val="Tahoma"/>
            <family val="0"/>
          </rPr>
          <t xml:space="preserve">Piotr:
</t>
        </r>
        <r>
          <rPr>
            <sz val="9"/>
            <rFont val="Tahoma"/>
            <family val="0"/>
          </rPr>
          <t>Wpisz otrzymane zasolenie, po zmieszaniu obj. testowanej i ilości rozpuszczonej.</t>
        </r>
      </text>
    </comment>
    <comment ref="F5" authorId="0">
      <text>
        <r>
          <rPr>
            <b/>
            <sz val="9"/>
            <rFont val="Tahoma"/>
            <family val="0"/>
          </rPr>
          <t xml:space="preserve">Piotr:
</t>
        </r>
        <r>
          <rPr>
            <sz val="9"/>
            <rFont val="Tahoma"/>
            <family val="0"/>
          </rPr>
          <t>To jest ilość soli, jaką należy dodać do objętości testowanej, aby otrzymać docelowe zasolenie solanki. Po dosypaniu soli, skoryguj ilość rozpuszczoną i otrzymane zasolenie. Jeśli ilość do dodania będzie bliska 0, możesz zrobić testy i wpisać Otrzymane Ca2+, Mg2+ i kH/Alk (nie jest to obligatoryjne). Pamiętaj o zmianie jednostek.
Całą operację z parametrami soli możesz przeprowadzić raz dla całego opakowania, ale warto pamiętać o możliwości złego wymieszania składników.</t>
        </r>
      </text>
    </comment>
  </commentList>
</comments>
</file>

<file path=xl/sharedStrings.xml><?xml version="1.0" encoding="utf-8"?>
<sst xmlns="http://schemas.openxmlformats.org/spreadsheetml/2006/main" count="148" uniqueCount="104">
  <si>
    <t>Parametry soli</t>
  </si>
  <si>
    <t>Objętość
testowana (l)</t>
  </si>
  <si>
    <t>Ilość
rozpuszczona (g)</t>
  </si>
  <si>
    <t>Salinity
factor</t>
  </si>
  <si>
    <t>Akwarium</t>
  </si>
  <si>
    <t>Podmiana (l)</t>
  </si>
  <si>
    <t>Ca2+</t>
  </si>
  <si>
    <t>Mg2+</t>
  </si>
  <si>
    <t>SBS</t>
  </si>
  <si>
    <t>Preparat</t>
  </si>
  <si>
    <t>NaHCO3</t>
  </si>
  <si>
    <t>CaCl2 * 2H2O</t>
  </si>
  <si>
    <t>MgCl2 * 6H2O</t>
  </si>
  <si>
    <t>Ilość rozpuszczona (g)</t>
  </si>
  <si>
    <t>W objętości (ml)</t>
  </si>
  <si>
    <t>CaCl2</t>
  </si>
  <si>
    <t>kH</t>
  </si>
  <si>
    <t>Na+</t>
  </si>
  <si>
    <t>Cl-</t>
  </si>
  <si>
    <t>HCO3-</t>
  </si>
  <si>
    <t>Zawartość jonów
(mg/ml)</t>
  </si>
  <si>
    <t>CaCl2 * 6H2O</t>
  </si>
  <si>
    <t>SO42-</t>
  </si>
  <si>
    <t>K+</t>
  </si>
  <si>
    <t>kH w mg</t>
  </si>
  <si>
    <t>NSW</t>
  </si>
  <si>
    <t>NaCl</t>
  </si>
  <si>
    <t>Parametry docelowe</t>
  </si>
  <si>
    <t>Parametry aktualne</t>
  </si>
  <si>
    <t>Pojemność systemu (l)</t>
  </si>
  <si>
    <t>kH / Alk</t>
  </si>
  <si>
    <t>Ilości do dodania (ml)</t>
  </si>
  <si>
    <t>kH dkH/ml</t>
  </si>
  <si>
    <t>Alk mEq/ml</t>
  </si>
  <si>
    <t>Ilości dodane (ml)</t>
  </si>
  <si>
    <t>Parametry otrzymane</t>
  </si>
  <si>
    <t>Korekcja dozowania</t>
  </si>
  <si>
    <t>MgSO4 * 7H2O</t>
  </si>
  <si>
    <t>B  a   l   l   i   n   g</t>
  </si>
  <si>
    <t>Roztwory</t>
  </si>
  <si>
    <t>PSU / SG</t>
  </si>
  <si>
    <t>SG</t>
  </si>
  <si>
    <t>Korekcja poziomu</t>
  </si>
  <si>
    <t>System</t>
  </si>
  <si>
    <t>Poziomy po korekcji</t>
  </si>
  <si>
    <t>Podmianki i korekcja zasolenia</t>
  </si>
  <si>
    <t>Ilość soli
do dodania (g)</t>
  </si>
  <si>
    <t>Ilość soli do rozpuszczenia (g)</t>
  </si>
  <si>
    <t>Parametry po podmiance</t>
  </si>
  <si>
    <t>Parametry przygotowanej solanki</t>
  </si>
  <si>
    <t>Otrzymane
Mg2+</t>
  </si>
  <si>
    <t>Otrzymane
Ca2+</t>
  </si>
  <si>
    <t>Poziom
Ca2+</t>
  </si>
  <si>
    <t>Poziom
Mg2+</t>
  </si>
  <si>
    <t>Obecny poziom
Ca2+</t>
  </si>
  <si>
    <t>Obecny poziom
Mg2+</t>
  </si>
  <si>
    <t>Przeliczniki</t>
  </si>
  <si>
    <t>Przeliczanie KH</t>
  </si>
  <si>
    <t>CaCO3 (mg/L)</t>
  </si>
  <si>
    <t>Alk (mEq)</t>
  </si>
  <si>
    <t>Przeliczanie Zasolenia</t>
  </si>
  <si>
    <t>Cond (mS/cm)</t>
  </si>
  <si>
    <t>PPT;PSU;‰</t>
  </si>
  <si>
    <t>Litr</t>
  </si>
  <si>
    <t>Przeliczanie objętości</t>
  </si>
  <si>
    <t>Kolejny test po (dni):</t>
  </si>
  <si>
    <t>Parametry wyjściowe:</t>
  </si>
  <si>
    <t>W polach z czerwonym znacznikiem umieszczone są dalsze instrukcje (najedź myszką).</t>
  </si>
  <si>
    <t>Dowolny kolor</t>
  </si>
  <si>
    <t>Wynik</t>
  </si>
  <si>
    <t>Niebieskie pola są polami wyboru, należy wybrać
odpowiednią jednostkę (PSU/SG lub kH/Alk).</t>
  </si>
  <si>
    <t>Tylko białe pola
służą do wpisywania danych.</t>
  </si>
  <si>
    <t>Właściwy wynik - 
zielone pole, żółta czcionka.</t>
  </si>
  <si>
    <t>Powodzenia
Załoga ReefHub.pl</t>
  </si>
  <si>
    <t>Amer. Galon</t>
  </si>
  <si>
    <t>Imp. Galon</t>
  </si>
  <si>
    <t>Zmień dawkę o: (ml/d)</t>
  </si>
  <si>
    <t>Przed przystąpieniem do pracy, w pierwszej kolejności skonfiguruj niebieskie pola na arkuszach Balling i Zasolenie, czyli określ jednostki, jakie będą używane, a następnie wprowadź infromacje o przygotowywanych roztworach i pojemności netto akwarium.</t>
  </si>
  <si>
    <t>Na</t>
  </si>
  <si>
    <t>Cl</t>
  </si>
  <si>
    <t>Mg</t>
  </si>
  <si>
    <t>C</t>
  </si>
  <si>
    <t>S</t>
  </si>
  <si>
    <t>O</t>
  </si>
  <si>
    <t>H</t>
  </si>
  <si>
    <t>K</t>
  </si>
  <si>
    <t>Ca</t>
  </si>
  <si>
    <t>H2O</t>
  </si>
  <si>
    <t>CO32-</t>
  </si>
  <si>
    <t>MgSO4*7H2O</t>
  </si>
  <si>
    <t>MgCl2*6H2O</t>
  </si>
  <si>
    <t>PSU</t>
  </si>
  <si>
    <t>KALKULATOR VER. 1.04</t>
  </si>
  <si>
    <t>Ilość piachu do DSB</t>
  </si>
  <si>
    <t>Wymiary DSB</t>
  </si>
  <si>
    <t>Parametry złoża</t>
  </si>
  <si>
    <t>Długość (cm)</t>
  </si>
  <si>
    <t>Szerokość (cm)</t>
  </si>
  <si>
    <t>Głębokość (cm)</t>
  </si>
  <si>
    <t>Gęstość (kg/l)</t>
  </si>
  <si>
    <t>Wyliczenia</t>
  </si>
  <si>
    <t>Obj. DSB (l)</t>
  </si>
  <si>
    <t>Waga złoża (kg)</t>
  </si>
  <si>
    <t>Większość piasków argonitowych ma gęstość 1,12kg/l, Aragamax może mieć gęstość od 1,44 - 1,60kg/l.
Piasek kwarcowy posiada gęstość około 2kg/l.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</si>
</sst>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???\ \l"/>
    <numFmt numFmtId="173" formatCode="????\ \m\g/\l"/>
    <numFmt numFmtId="174" formatCode="????\ \m\l"/>
    <numFmt numFmtId="175" formatCode="????\ \g"/>
    <numFmt numFmtId="176" formatCode="0.0"/>
    <numFmt numFmtId="177" formatCode="0.0\ \g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0.000"/>
    <numFmt numFmtId="183" formatCode="0.0000"/>
    <numFmt numFmtId="184" formatCode="#,##0.0\ &quot;zł&quot;"/>
    <numFmt numFmtId="185" formatCode="#,##0.0"/>
    <numFmt numFmtId="186" formatCode="#,##0.0000"/>
    <numFmt numFmtId="187" formatCode="#,##0.00000"/>
    <numFmt numFmtId="188" formatCode="0.000000"/>
  </numFmts>
  <fonts count="6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0"/>
    </font>
    <font>
      <sz val="2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4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13"/>
      <name val="Arial"/>
      <family val="2"/>
    </font>
    <font>
      <sz val="10"/>
      <color indexed="9"/>
      <name val="Arial"/>
      <family val="2"/>
    </font>
    <font>
      <sz val="16"/>
      <name val="Calibri"/>
      <family val="2"/>
    </font>
    <font>
      <sz val="16"/>
      <color indexed="13"/>
      <name val="Calibri"/>
      <family val="2"/>
    </font>
    <font>
      <sz val="12"/>
      <color indexed="9"/>
      <name val="Arial"/>
      <family val="2"/>
    </font>
    <font>
      <b/>
      <sz val="28"/>
      <color indexed="13"/>
      <name val="Arial"/>
      <family val="2"/>
    </font>
    <font>
      <sz val="16"/>
      <color indexed="9"/>
      <name val="Calibri"/>
      <family val="2"/>
    </font>
    <font>
      <sz val="20"/>
      <name val="Calibri"/>
      <family val="2"/>
    </font>
    <font>
      <sz val="14"/>
      <name val="Calibri"/>
      <family val="2"/>
    </font>
    <font>
      <sz val="20"/>
      <color indexed="13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sz val="16"/>
      <color rgb="FFFFFF00"/>
      <name val="Arial"/>
      <family val="2"/>
    </font>
    <font>
      <sz val="10"/>
      <color theme="0"/>
      <name val="Arial"/>
      <family val="2"/>
    </font>
    <font>
      <sz val="16"/>
      <color rgb="FFFFFF00"/>
      <name val="Calibri"/>
      <family val="2"/>
    </font>
    <font>
      <sz val="12"/>
      <color theme="0"/>
      <name val="Arial"/>
      <family val="2"/>
    </font>
    <font>
      <b/>
      <sz val="28"/>
      <color rgb="FFFFFF00"/>
      <name val="Arial"/>
      <family val="2"/>
    </font>
    <font>
      <sz val="16"/>
      <color theme="0"/>
      <name val="Calibri"/>
      <family val="2"/>
    </font>
    <font>
      <sz val="20"/>
      <color rgb="FFFFFF00"/>
      <name val="Calibri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20E0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7" fillId="3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185" fontId="3" fillId="37" borderId="11" xfId="0" applyNumberFormat="1" applyFont="1" applyFill="1" applyBorder="1" applyAlignment="1">
      <alignment horizontal="center" vertical="center"/>
    </xf>
    <xf numFmtId="186" fontId="3" fillId="37" borderId="10" xfId="0" applyNumberFormat="1" applyFont="1" applyFill="1" applyBorder="1" applyAlignment="1">
      <alignment horizontal="center" vertical="center"/>
    </xf>
    <xf numFmtId="186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4" fontId="57" fillId="39" borderId="16" xfId="0" applyNumberFormat="1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186" fontId="3" fillId="37" borderId="16" xfId="0" applyNumberFormat="1" applyFont="1" applyFill="1" applyBorder="1" applyAlignment="1">
      <alignment horizontal="center"/>
    </xf>
    <xf numFmtId="186" fontId="0" fillId="33" borderId="16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58" fillId="0" borderId="0" xfId="0" applyFont="1" applyAlignment="1">
      <alignment/>
    </xf>
    <xf numFmtId="185" fontId="6" fillId="0" borderId="17" xfId="0" applyNumberFormat="1" applyFont="1" applyBorder="1" applyAlignment="1" applyProtection="1">
      <alignment horizontal="center" vertical="center"/>
      <protection locked="0"/>
    </xf>
    <xf numFmtId="185" fontId="6" fillId="0" borderId="16" xfId="0" applyNumberFormat="1" applyFont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>
      <alignment horizontal="center" vertical="center"/>
    </xf>
    <xf numFmtId="185" fontId="3" fillId="37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3" fillId="40" borderId="19" xfId="0" applyFont="1" applyFill="1" applyBorder="1" applyAlignment="1" applyProtection="1">
      <alignment horizontal="center" vertical="center" wrapText="1"/>
      <protection/>
    </xf>
    <xf numFmtId="0" fontId="3" fillId="40" borderId="20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40" borderId="21" xfId="0" applyFont="1" applyFill="1" applyBorder="1" applyAlignment="1" applyProtection="1">
      <alignment horizontal="center" vertical="center" wrapText="1"/>
      <protection/>
    </xf>
    <xf numFmtId="182" fontId="5" fillId="41" borderId="16" xfId="0" applyNumberFormat="1" applyFont="1" applyFill="1" applyBorder="1" applyAlignment="1" applyProtection="1">
      <alignment horizontal="center" vertical="center"/>
      <protection/>
    </xf>
    <xf numFmtId="4" fontId="4" fillId="39" borderId="16" xfId="0" applyNumberFormat="1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" fillId="40" borderId="15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40" borderId="11" xfId="0" applyFont="1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/>
      <protection/>
    </xf>
    <xf numFmtId="0" fontId="3" fillId="41" borderId="15" xfId="0" applyFont="1" applyFill="1" applyBorder="1" applyAlignment="1" applyProtection="1">
      <alignment horizontal="center" vertical="center" wrapText="1"/>
      <protection/>
    </xf>
    <xf numFmtId="0" fontId="3" fillId="41" borderId="10" xfId="0" applyFont="1" applyFill="1" applyBorder="1" applyAlignment="1" applyProtection="1">
      <alignment horizontal="center" vertical="center" wrapText="1"/>
      <protection/>
    </xf>
    <xf numFmtId="0" fontId="3" fillId="41" borderId="11" xfId="0" applyFont="1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/>
      <protection/>
    </xf>
    <xf numFmtId="1" fontId="5" fillId="42" borderId="16" xfId="0" applyNumberFormat="1" applyFont="1" applyFill="1" applyBorder="1" applyAlignment="1" applyProtection="1">
      <alignment horizontal="center" vertical="center"/>
      <protection/>
    </xf>
    <xf numFmtId="2" fontId="5" fillId="42" borderId="16" xfId="0" applyNumberFormat="1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/>
      <protection/>
    </xf>
    <xf numFmtId="186" fontId="4" fillId="43" borderId="17" xfId="0" applyNumberFormat="1" applyFont="1" applyFill="1" applyBorder="1" applyAlignment="1" applyProtection="1">
      <alignment horizontal="center" vertical="center"/>
      <protection/>
    </xf>
    <xf numFmtId="1" fontId="4" fillId="43" borderId="16" xfId="0" applyNumberFormat="1" applyFont="1" applyFill="1" applyBorder="1" applyAlignment="1" applyProtection="1">
      <alignment horizontal="center" vertical="center"/>
      <protection/>
    </xf>
    <xf numFmtId="2" fontId="4" fillId="43" borderId="18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/>
      <protection/>
    </xf>
    <xf numFmtId="183" fontId="4" fillId="0" borderId="17" xfId="0" applyNumberFormat="1" applyFont="1" applyBorder="1" applyAlignment="1" applyProtection="1">
      <alignment horizontal="center" vertical="center"/>
      <protection locked="0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183" fontId="4" fillId="0" borderId="16" xfId="0" applyNumberFormat="1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horizontal="center" vertical="center"/>
      <protection locked="0"/>
    </xf>
    <xf numFmtId="4" fontId="4" fillId="0" borderId="18" xfId="0" applyNumberFormat="1" applyFont="1" applyBorder="1" applyAlignment="1" applyProtection="1">
      <alignment horizontal="center" vertical="center"/>
      <protection locked="0"/>
    </xf>
    <xf numFmtId="186" fontId="4" fillId="0" borderId="17" xfId="0" applyNumberFormat="1" applyFont="1" applyBorder="1" applyAlignment="1" applyProtection="1">
      <alignment horizontal="center" vertical="center"/>
      <protection locked="0"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2" fontId="4" fillId="0" borderId="16" xfId="0" applyNumberFormat="1" applyFont="1" applyBorder="1" applyAlignment="1" applyProtection="1">
      <alignment horizontal="center" vertical="center"/>
      <protection locked="0"/>
    </xf>
    <xf numFmtId="186" fontId="4" fillId="0" borderId="18" xfId="0" applyNumberFormat="1" applyFont="1" applyBorder="1" applyAlignment="1" applyProtection="1">
      <alignment horizontal="center" vertical="center"/>
      <protection locked="0"/>
    </xf>
    <xf numFmtId="183" fontId="32" fillId="0" borderId="15" xfId="0" applyNumberFormat="1" applyFont="1" applyFill="1" applyBorder="1" applyAlignment="1" applyProtection="1">
      <alignment horizontal="center" vertical="center"/>
      <protection locked="0"/>
    </xf>
    <xf numFmtId="2" fontId="3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/>
    </xf>
    <xf numFmtId="0" fontId="0" fillId="0" borderId="23" xfId="0" applyBorder="1" applyAlignment="1" applyProtection="1">
      <alignment/>
      <protection/>
    </xf>
    <xf numFmtId="0" fontId="3" fillId="0" borderId="0" xfId="0" applyFont="1" applyAlignment="1">
      <alignment/>
    </xf>
    <xf numFmtId="0" fontId="57" fillId="39" borderId="23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183" fontId="59" fillId="39" borderId="15" xfId="0" applyNumberFormat="1" applyFont="1" applyFill="1" applyBorder="1" applyAlignment="1" applyProtection="1">
      <alignment horizontal="center" vertical="center"/>
      <protection/>
    </xf>
    <xf numFmtId="183" fontId="59" fillId="39" borderId="17" xfId="0" applyNumberFormat="1" applyFont="1" applyFill="1" applyBorder="1" applyAlignment="1">
      <alignment horizontal="center" vertical="center"/>
    </xf>
    <xf numFmtId="2" fontId="59" fillId="39" borderId="16" xfId="0" applyNumberFormat="1" applyFont="1" applyFill="1" applyBorder="1" applyAlignment="1">
      <alignment horizontal="center" vertical="center"/>
    </xf>
    <xf numFmtId="2" fontId="59" fillId="39" borderId="10" xfId="0" applyNumberFormat="1" applyFont="1" applyFill="1" applyBorder="1" applyAlignment="1" applyProtection="1">
      <alignment horizontal="center" vertical="center"/>
      <protection/>
    </xf>
    <xf numFmtId="0" fontId="32" fillId="44" borderId="19" xfId="0" applyFont="1" applyFill="1" applyBorder="1" applyAlignment="1">
      <alignment horizontal="center" vertical="center"/>
    </xf>
    <xf numFmtId="0" fontId="32" fillId="44" borderId="20" xfId="0" applyFont="1" applyFill="1" applyBorder="1" applyAlignment="1">
      <alignment horizontal="center" vertical="center"/>
    </xf>
    <xf numFmtId="0" fontId="32" fillId="44" borderId="21" xfId="0" applyFont="1" applyFill="1" applyBorder="1" applyAlignment="1">
      <alignment horizontal="center" vertical="center"/>
    </xf>
    <xf numFmtId="0" fontId="32" fillId="9" borderId="19" xfId="0" applyFont="1" applyFill="1" applyBorder="1" applyAlignment="1" applyProtection="1">
      <alignment horizontal="center" vertical="center"/>
      <protection locked="0"/>
    </xf>
    <xf numFmtId="0" fontId="32" fillId="9" borderId="20" xfId="0" applyFont="1" applyFill="1" applyBorder="1" applyAlignment="1" applyProtection="1">
      <alignment horizontal="center" vertical="center"/>
      <protection locked="0"/>
    </xf>
    <xf numFmtId="0" fontId="32" fillId="34" borderId="22" xfId="0" applyFont="1" applyFill="1" applyBorder="1" applyAlignment="1">
      <alignment horizontal="center" vertical="center"/>
    </xf>
    <xf numFmtId="2" fontId="32" fillId="45" borderId="15" xfId="0" applyNumberFormat="1" applyFont="1" applyFill="1" applyBorder="1" applyAlignment="1" applyProtection="1">
      <alignment horizontal="center" vertical="center"/>
      <protection locked="0"/>
    </xf>
    <xf numFmtId="2" fontId="59" fillId="39" borderId="11" xfId="0" applyNumberFormat="1" applyFont="1" applyFill="1" applyBorder="1" applyAlignment="1" applyProtection="1">
      <alignment horizontal="center" vertical="center"/>
      <protection/>
    </xf>
    <xf numFmtId="2" fontId="59" fillId="39" borderId="15" xfId="0" applyNumberFormat="1" applyFont="1" applyFill="1" applyBorder="1" applyAlignment="1" applyProtection="1">
      <alignment horizontal="center" vertical="center"/>
      <protection/>
    </xf>
    <xf numFmtId="2" fontId="32" fillId="45" borderId="10" xfId="0" applyNumberFormat="1" applyFont="1" applyFill="1" applyBorder="1" applyAlignment="1" applyProtection="1">
      <alignment horizontal="center" vertical="center"/>
      <protection locked="0"/>
    </xf>
    <xf numFmtId="2" fontId="59" fillId="39" borderId="17" xfId="0" applyNumberFormat="1" applyFont="1" applyFill="1" applyBorder="1" applyAlignment="1" applyProtection="1">
      <alignment horizontal="center" vertical="center"/>
      <protection/>
    </xf>
    <xf numFmtId="2" fontId="59" fillId="39" borderId="16" xfId="0" applyNumberFormat="1" applyFont="1" applyFill="1" applyBorder="1" applyAlignment="1" applyProtection="1">
      <alignment horizontal="center" vertical="center"/>
      <protection/>
    </xf>
    <xf numFmtId="2" fontId="32" fillId="45" borderId="18" xfId="0" applyNumberFormat="1" applyFont="1" applyFill="1" applyBorder="1" applyAlignment="1" applyProtection="1">
      <alignment horizontal="center" vertical="center"/>
      <protection locked="0"/>
    </xf>
    <xf numFmtId="0" fontId="0" fillId="46" borderId="23" xfId="0" applyFill="1" applyBorder="1" applyAlignment="1" applyProtection="1">
      <alignment/>
      <protection locked="0"/>
    </xf>
    <xf numFmtId="0" fontId="32" fillId="9" borderId="24" xfId="0" applyFont="1" applyFill="1" applyBorder="1" applyAlignment="1">
      <alignment horizontal="center" vertical="center"/>
    </xf>
    <xf numFmtId="2" fontId="59" fillId="39" borderId="25" xfId="0" applyNumberFormat="1" applyFont="1" applyFill="1" applyBorder="1" applyAlignment="1">
      <alignment horizontal="center" vertical="center"/>
    </xf>
    <xf numFmtId="2" fontId="32" fillId="0" borderId="26" xfId="0" applyNumberFormat="1" applyFont="1" applyFill="1" applyBorder="1" applyAlignment="1" applyProtection="1">
      <alignment horizontal="center" vertical="center"/>
      <protection locked="0"/>
    </xf>
    <xf numFmtId="0" fontId="32" fillId="34" borderId="27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/>
    </xf>
    <xf numFmtId="4" fontId="32" fillId="0" borderId="15" xfId="0" applyNumberFormat="1" applyFont="1" applyBorder="1" applyAlignment="1" applyProtection="1">
      <alignment horizontal="center" vertical="center"/>
      <protection locked="0"/>
    </xf>
    <xf numFmtId="4" fontId="59" fillId="39" borderId="10" xfId="0" applyNumberFormat="1" applyFont="1" applyFill="1" applyBorder="1" applyAlignment="1">
      <alignment horizontal="center" vertical="center"/>
    </xf>
    <xf numFmtId="4" fontId="59" fillId="39" borderId="11" xfId="0" applyNumberFormat="1" applyFont="1" applyFill="1" applyBorder="1" applyAlignment="1">
      <alignment horizontal="center" vertical="center"/>
    </xf>
    <xf numFmtId="4" fontId="59" fillId="39" borderId="15" xfId="0" applyNumberFormat="1" applyFont="1" applyFill="1" applyBorder="1" applyAlignment="1">
      <alignment horizontal="center" vertical="center"/>
    </xf>
    <xf numFmtId="4" fontId="32" fillId="0" borderId="10" xfId="0" applyNumberFormat="1" applyFont="1" applyBorder="1" applyAlignment="1" applyProtection="1">
      <alignment horizontal="center" vertical="center"/>
      <protection locked="0"/>
    </xf>
    <xf numFmtId="4" fontId="59" fillId="39" borderId="17" xfId="0" applyNumberFormat="1" applyFont="1" applyFill="1" applyBorder="1" applyAlignment="1">
      <alignment horizontal="center" vertical="center"/>
    </xf>
    <xf numFmtId="4" fontId="59" fillId="39" borderId="16" xfId="0" applyNumberFormat="1" applyFont="1" applyFill="1" applyBorder="1" applyAlignment="1">
      <alignment horizontal="center" vertical="center"/>
    </xf>
    <xf numFmtId="4" fontId="32" fillId="0" borderId="18" xfId="0" applyNumberFormat="1" applyFont="1" applyFill="1" applyBorder="1" applyAlignment="1">
      <alignment horizontal="center" vertical="center"/>
    </xf>
    <xf numFmtId="0" fontId="5" fillId="38" borderId="29" xfId="0" applyFont="1" applyFill="1" applyBorder="1" applyAlignment="1">
      <alignment vertical="center"/>
    </xf>
    <xf numFmtId="0" fontId="5" fillId="38" borderId="30" xfId="0" applyFont="1" applyFill="1" applyBorder="1" applyAlignment="1">
      <alignment vertical="center"/>
    </xf>
    <xf numFmtId="0" fontId="5" fillId="38" borderId="31" xfId="0" applyFont="1" applyFill="1" applyBorder="1" applyAlignment="1">
      <alignment vertical="center"/>
    </xf>
    <xf numFmtId="0" fontId="5" fillId="38" borderId="29" xfId="0" applyFont="1" applyFill="1" applyBorder="1" applyAlignment="1">
      <alignment/>
    </xf>
    <xf numFmtId="0" fontId="5" fillId="38" borderId="30" xfId="0" applyFont="1" applyFill="1" applyBorder="1" applyAlignment="1">
      <alignment/>
    </xf>
    <xf numFmtId="0" fontId="5" fillId="38" borderId="31" xfId="0" applyFont="1" applyFill="1" applyBorder="1" applyAlignment="1">
      <alignment/>
    </xf>
    <xf numFmtId="0" fontId="32" fillId="46" borderId="27" xfId="0" applyFont="1" applyFill="1" applyBorder="1" applyAlignment="1" applyProtection="1">
      <alignment horizontal="center" vertical="center"/>
      <protection/>
    </xf>
    <xf numFmtId="0" fontId="32" fillId="46" borderId="28" xfId="0" applyFont="1" applyFill="1" applyBorder="1" applyAlignment="1" applyProtection="1">
      <alignment horizontal="center" vertical="center"/>
      <protection/>
    </xf>
    <xf numFmtId="0" fontId="32" fillId="46" borderId="22" xfId="0" applyFont="1" applyFill="1" applyBorder="1" applyAlignment="1" applyProtection="1">
      <alignment horizontal="center" vertical="center"/>
      <protection/>
    </xf>
    <xf numFmtId="0" fontId="32" fillId="36" borderId="27" xfId="0" applyFont="1" applyFill="1" applyBorder="1" applyAlignment="1" applyProtection="1">
      <alignment horizontal="center" vertical="center"/>
      <protection/>
    </xf>
    <xf numFmtId="0" fontId="32" fillId="37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12" borderId="32" xfId="0" applyFont="1" applyFill="1" applyBorder="1" applyAlignment="1">
      <alignment horizontal="center" vertical="center" wrapText="1"/>
    </xf>
    <xf numFmtId="0" fontId="6" fillId="12" borderId="33" xfId="0" applyFont="1" applyFill="1" applyBorder="1" applyAlignment="1">
      <alignment horizontal="center" vertical="center"/>
    </xf>
    <xf numFmtId="0" fontId="6" fillId="12" borderId="3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6" fillId="35" borderId="32" xfId="0" applyFont="1" applyFill="1" applyBorder="1" applyAlignment="1" applyProtection="1">
      <alignment horizontal="center" vertical="center" wrapText="1"/>
      <protection/>
    </xf>
    <xf numFmtId="0" fontId="6" fillId="35" borderId="33" xfId="0" applyFont="1" applyFill="1" applyBorder="1" applyAlignment="1" applyProtection="1">
      <alignment horizontal="center" vertical="center" wrapText="1"/>
      <protection/>
    </xf>
    <xf numFmtId="0" fontId="6" fillId="35" borderId="34" xfId="0" applyFont="1" applyFill="1" applyBorder="1" applyAlignment="1" applyProtection="1">
      <alignment horizontal="center" vertical="center" wrapText="1"/>
      <protection/>
    </xf>
    <xf numFmtId="0" fontId="5" fillId="37" borderId="32" xfId="0" applyFont="1" applyFill="1" applyBorder="1" applyAlignment="1">
      <alignment horizontal="center"/>
    </xf>
    <xf numFmtId="0" fontId="5" fillId="37" borderId="33" xfId="0" applyFont="1" applyFill="1" applyBorder="1" applyAlignment="1">
      <alignment horizontal="center"/>
    </xf>
    <xf numFmtId="0" fontId="5" fillId="37" borderId="34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/>
    </xf>
    <xf numFmtId="0" fontId="5" fillId="8" borderId="31" xfId="0" applyFont="1" applyFill="1" applyBorder="1" applyAlignment="1">
      <alignment horizontal="center"/>
    </xf>
    <xf numFmtId="0" fontId="5" fillId="8" borderId="29" xfId="0" applyFont="1" applyFill="1" applyBorder="1" applyAlignment="1">
      <alignment horizontal="center"/>
    </xf>
    <xf numFmtId="0" fontId="6" fillId="46" borderId="10" xfId="0" applyFont="1" applyFill="1" applyBorder="1" applyAlignment="1" applyProtection="1">
      <alignment horizontal="center" vertical="center"/>
      <protection locked="0"/>
    </xf>
    <xf numFmtId="185" fontId="6" fillId="0" borderId="10" xfId="0" applyNumberFormat="1" applyFont="1" applyBorder="1" applyAlignment="1" applyProtection="1">
      <alignment horizontal="center" vertical="center"/>
      <protection locked="0"/>
    </xf>
    <xf numFmtId="185" fontId="6" fillId="0" borderId="11" xfId="0" applyNumberFormat="1" applyFont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85" fontId="3" fillId="37" borderId="10" xfId="0" applyNumberFormat="1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176" fontId="4" fillId="46" borderId="13" xfId="0" applyNumberFormat="1" applyFont="1" applyFill="1" applyBorder="1" applyAlignment="1" applyProtection="1">
      <alignment horizontal="center" vertical="center"/>
      <protection locked="0"/>
    </xf>
    <xf numFmtId="0" fontId="6" fillId="35" borderId="15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4" fillId="46" borderId="13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7" borderId="36" xfId="0" applyFont="1" applyFill="1" applyBorder="1" applyAlignment="1">
      <alignment horizontal="center" vertical="center"/>
    </xf>
    <xf numFmtId="0" fontId="6" fillId="37" borderId="37" xfId="0" applyFont="1" applyFill="1" applyBorder="1" applyAlignment="1">
      <alignment horizontal="center" vertical="center"/>
    </xf>
    <xf numFmtId="185" fontId="57" fillId="39" borderId="17" xfId="0" applyNumberFormat="1" applyFont="1" applyFill="1" applyBorder="1" applyAlignment="1">
      <alignment horizontal="center" vertical="center"/>
    </xf>
    <xf numFmtId="185" fontId="57" fillId="39" borderId="16" xfId="0" applyNumberFormat="1" applyFont="1" applyFill="1" applyBorder="1" applyAlignment="1">
      <alignment horizontal="center" vertical="center"/>
    </xf>
    <xf numFmtId="185" fontId="57" fillId="39" borderId="18" xfId="0" applyNumberFormat="1" applyFont="1" applyFill="1" applyBorder="1" applyAlignment="1">
      <alignment horizontal="center" vertical="center"/>
    </xf>
    <xf numFmtId="185" fontId="6" fillId="0" borderId="15" xfId="0" applyNumberFormat="1" applyFont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0" fillId="47" borderId="10" xfId="0" applyFont="1" applyFill="1" applyBorder="1" applyAlignment="1">
      <alignment horizontal="center" vertical="center" shrinkToFit="1"/>
    </xf>
    <xf numFmtId="0" fontId="60" fillId="47" borderId="11" xfId="0" applyFont="1" applyFill="1" applyBorder="1" applyAlignment="1">
      <alignment horizontal="center" vertical="center" shrinkToFit="1"/>
    </xf>
    <xf numFmtId="187" fontId="57" fillId="39" borderId="16" xfId="0" applyNumberFormat="1" applyFont="1" applyFill="1" applyBorder="1" applyAlignment="1">
      <alignment horizontal="center" vertical="center"/>
    </xf>
    <xf numFmtId="187" fontId="57" fillId="39" borderId="18" xfId="0" applyNumberFormat="1" applyFont="1" applyFill="1" applyBorder="1" applyAlignment="1">
      <alignment horizontal="center" vertical="center"/>
    </xf>
    <xf numFmtId="0" fontId="5" fillId="38" borderId="30" xfId="0" applyFont="1" applyFill="1" applyBorder="1" applyAlignment="1">
      <alignment horizontal="center" vertical="center"/>
    </xf>
    <xf numFmtId="0" fontId="5" fillId="38" borderId="30" xfId="0" applyFont="1" applyFill="1" applyBorder="1" applyAlignment="1">
      <alignment horizontal="center"/>
    </xf>
    <xf numFmtId="0" fontId="4" fillId="46" borderId="38" xfId="0" applyFont="1" applyFill="1" applyBorder="1" applyAlignment="1" applyProtection="1">
      <alignment horizontal="center" vertical="center"/>
      <protection locked="0"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6" borderId="36" xfId="0" applyFont="1" applyFill="1" applyBorder="1" applyAlignment="1">
      <alignment horizontal="center" vertical="center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0" fontId="6" fillId="36" borderId="27" xfId="0" applyFont="1" applyFill="1" applyBorder="1" applyAlignment="1" applyProtection="1">
      <alignment horizontal="center" vertical="center"/>
      <protection/>
    </xf>
    <xf numFmtId="0" fontId="6" fillId="36" borderId="28" xfId="0" applyFont="1" applyFill="1" applyBorder="1" applyAlignment="1" applyProtection="1">
      <alignment horizontal="center" vertical="center"/>
      <protection/>
    </xf>
    <xf numFmtId="0" fontId="4" fillId="46" borderId="17" xfId="0" applyFont="1" applyFill="1" applyBorder="1" applyAlignment="1" applyProtection="1">
      <alignment horizontal="center" vertical="center"/>
      <protection locked="0"/>
    </xf>
    <xf numFmtId="0" fontId="4" fillId="46" borderId="16" xfId="0" applyFont="1" applyFill="1" applyBorder="1" applyAlignment="1" applyProtection="1">
      <alignment horizontal="center" vertical="center"/>
      <protection locked="0"/>
    </xf>
    <xf numFmtId="0" fontId="6" fillId="36" borderId="22" xfId="0" applyFont="1" applyFill="1" applyBorder="1" applyAlignment="1" applyProtection="1">
      <alignment horizontal="center" vertical="center"/>
      <protection/>
    </xf>
    <xf numFmtId="0" fontId="4" fillId="46" borderId="18" xfId="0" applyFont="1" applyFill="1" applyBorder="1" applyAlignment="1" applyProtection="1">
      <alignment horizontal="center" vertical="center"/>
      <protection locked="0"/>
    </xf>
    <xf numFmtId="0" fontId="4" fillId="37" borderId="27" xfId="0" applyFont="1" applyFill="1" applyBorder="1" applyAlignment="1" applyProtection="1">
      <alignment horizontal="center" vertical="center"/>
      <protection/>
    </xf>
    <xf numFmtId="0" fontId="4" fillId="37" borderId="28" xfId="0" applyFont="1" applyFill="1" applyBorder="1" applyAlignment="1" applyProtection="1">
      <alignment horizontal="center" vertical="center"/>
      <protection/>
    </xf>
    <xf numFmtId="0" fontId="4" fillId="37" borderId="22" xfId="0" applyFont="1" applyFill="1" applyBorder="1" applyAlignment="1" applyProtection="1">
      <alignment horizontal="center" vertical="center"/>
      <protection/>
    </xf>
    <xf numFmtId="4" fontId="61" fillId="39" borderId="17" xfId="0" applyNumberFormat="1" applyFont="1" applyFill="1" applyBorder="1" applyAlignment="1" applyProtection="1">
      <alignment horizontal="center" vertical="center"/>
      <protection/>
    </xf>
    <xf numFmtId="4" fontId="61" fillId="39" borderId="16" xfId="0" applyNumberFormat="1" applyFont="1" applyFill="1" applyBorder="1" applyAlignment="1" applyProtection="1">
      <alignment horizontal="center" vertical="center"/>
      <protection/>
    </xf>
    <xf numFmtId="4" fontId="61" fillId="39" borderId="18" xfId="0" applyNumberFormat="1" applyFont="1" applyFill="1" applyBorder="1" applyAlignment="1" applyProtection="1">
      <alignment horizontal="center" vertical="center"/>
      <protection/>
    </xf>
    <xf numFmtId="2" fontId="4" fillId="48" borderId="27" xfId="0" applyNumberFormat="1" applyFont="1" applyFill="1" applyBorder="1" applyAlignment="1" applyProtection="1">
      <alignment horizontal="center" vertical="center"/>
      <protection/>
    </xf>
    <xf numFmtId="2" fontId="4" fillId="48" borderId="28" xfId="0" applyNumberFormat="1" applyFont="1" applyFill="1" applyBorder="1" applyAlignment="1" applyProtection="1">
      <alignment horizontal="center" vertical="center"/>
      <protection/>
    </xf>
    <xf numFmtId="2" fontId="4" fillId="48" borderId="22" xfId="0" applyNumberFormat="1" applyFont="1" applyFill="1" applyBorder="1" applyAlignment="1" applyProtection="1">
      <alignment horizontal="center" vertical="center"/>
      <protection/>
    </xf>
    <xf numFmtId="0" fontId="5" fillId="37" borderId="32" xfId="0" applyFont="1" applyFill="1" applyBorder="1" applyAlignment="1" applyProtection="1">
      <alignment horizontal="center"/>
      <protection/>
    </xf>
    <xf numFmtId="0" fontId="5" fillId="37" borderId="33" xfId="0" applyFont="1" applyFill="1" applyBorder="1" applyAlignment="1" applyProtection="1">
      <alignment horizontal="center"/>
      <protection/>
    </xf>
    <xf numFmtId="0" fontId="5" fillId="37" borderId="34" xfId="0" applyFont="1" applyFill="1" applyBorder="1" applyAlignment="1" applyProtection="1">
      <alignment horizontal="center"/>
      <protection/>
    </xf>
    <xf numFmtId="0" fontId="4" fillId="41" borderId="41" xfId="0" applyFont="1" applyFill="1" applyBorder="1" applyAlignment="1" applyProtection="1">
      <alignment horizontal="center" vertical="center"/>
      <protection/>
    </xf>
    <xf numFmtId="0" fontId="4" fillId="41" borderId="42" xfId="0" applyFont="1" applyFill="1" applyBorder="1" applyAlignment="1" applyProtection="1">
      <alignment horizontal="center" vertical="center"/>
      <protection/>
    </xf>
    <xf numFmtId="0" fontId="4" fillId="41" borderId="43" xfId="0" applyFont="1" applyFill="1" applyBorder="1" applyAlignment="1" applyProtection="1">
      <alignment horizontal="center" vertical="center"/>
      <protection/>
    </xf>
    <xf numFmtId="0" fontId="4" fillId="9" borderId="27" xfId="0" applyFont="1" applyFill="1" applyBorder="1" applyAlignment="1" applyProtection="1">
      <alignment horizontal="center" vertical="center"/>
      <protection/>
    </xf>
    <xf numFmtId="0" fontId="4" fillId="9" borderId="28" xfId="0" applyFont="1" applyFill="1" applyBorder="1" applyAlignment="1" applyProtection="1">
      <alignment vertical="center"/>
      <protection/>
    </xf>
    <xf numFmtId="0" fontId="4" fillId="9" borderId="22" xfId="0" applyFont="1" applyFill="1" applyBorder="1" applyAlignment="1" applyProtection="1">
      <alignment vertical="center"/>
      <protection/>
    </xf>
    <xf numFmtId="0" fontId="4" fillId="16" borderId="41" xfId="0" applyFont="1" applyFill="1" applyBorder="1" applyAlignment="1" applyProtection="1">
      <alignment horizontal="center" vertical="center"/>
      <protection/>
    </xf>
    <xf numFmtId="0" fontId="4" fillId="16" borderId="42" xfId="0" applyFont="1" applyFill="1" applyBorder="1" applyAlignment="1" applyProtection="1">
      <alignment horizontal="center" vertical="center"/>
      <protection/>
    </xf>
    <xf numFmtId="0" fontId="4" fillId="16" borderId="43" xfId="0" applyFont="1" applyFill="1" applyBorder="1" applyAlignment="1" applyProtection="1">
      <alignment horizontal="center" vertical="center"/>
      <protection/>
    </xf>
    <xf numFmtId="0" fontId="3" fillId="40" borderId="27" xfId="0" applyFont="1" applyFill="1" applyBorder="1" applyAlignment="1" applyProtection="1">
      <alignment horizontal="center" vertical="center" wrapText="1"/>
      <protection/>
    </xf>
    <xf numFmtId="0" fontId="3" fillId="40" borderId="28" xfId="0" applyFont="1" applyFill="1" applyBorder="1" applyAlignment="1" applyProtection="1">
      <alignment horizontal="center" vertical="center" wrapText="1"/>
      <protection/>
    </xf>
    <xf numFmtId="4" fontId="4" fillId="0" borderId="15" xfId="0" applyNumberFormat="1" applyFont="1" applyBorder="1" applyAlignment="1" applyProtection="1">
      <alignment horizontal="center" vertical="center"/>
      <protection locked="0"/>
    </xf>
    <xf numFmtId="0" fontId="5" fillId="8" borderId="44" xfId="0" applyFont="1" applyFill="1" applyBorder="1" applyAlignment="1">
      <alignment horizontal="center"/>
    </xf>
    <xf numFmtId="0" fontId="5" fillId="8" borderId="45" xfId="0" applyFont="1" applyFill="1" applyBorder="1" applyAlignment="1">
      <alignment horizontal="center"/>
    </xf>
    <xf numFmtId="0" fontId="5" fillId="8" borderId="46" xfId="0" applyFont="1" applyFill="1" applyBorder="1" applyAlignment="1">
      <alignment horizontal="center"/>
    </xf>
    <xf numFmtId="0" fontId="32" fillId="49" borderId="41" xfId="0" applyFont="1" applyFill="1" applyBorder="1" applyAlignment="1">
      <alignment horizontal="center" vertical="center"/>
    </xf>
    <xf numFmtId="0" fontId="32" fillId="49" borderId="42" xfId="0" applyFont="1" applyFill="1" applyBorder="1" applyAlignment="1">
      <alignment horizontal="center" vertical="center"/>
    </xf>
    <xf numFmtId="0" fontId="32" fillId="49" borderId="43" xfId="0" applyFont="1" applyFill="1" applyBorder="1" applyAlignment="1">
      <alignment horizontal="center" vertical="center"/>
    </xf>
    <xf numFmtId="0" fontId="62" fillId="47" borderId="41" xfId="0" applyFont="1" applyFill="1" applyBorder="1" applyAlignment="1">
      <alignment horizontal="center" vertical="center"/>
    </xf>
    <xf numFmtId="0" fontId="62" fillId="47" borderId="42" xfId="0" applyFont="1" applyFill="1" applyBorder="1" applyAlignment="1">
      <alignment horizontal="center" vertical="center"/>
    </xf>
    <xf numFmtId="0" fontId="62" fillId="47" borderId="43" xfId="0" applyFont="1" applyFill="1" applyBorder="1" applyAlignment="1">
      <alignment horizontal="center" vertical="center"/>
    </xf>
    <xf numFmtId="0" fontId="32" fillId="50" borderId="32" xfId="0" applyFont="1" applyFill="1" applyBorder="1" applyAlignment="1">
      <alignment horizontal="center" vertical="center"/>
    </xf>
    <xf numFmtId="0" fontId="32" fillId="50" borderId="33" xfId="0" applyFont="1" applyFill="1" applyBorder="1" applyAlignment="1">
      <alignment horizontal="center" vertical="center"/>
    </xf>
    <xf numFmtId="0" fontId="32" fillId="50" borderId="34" xfId="0" applyFont="1" applyFill="1" applyBorder="1" applyAlignment="1">
      <alignment horizontal="center" vertical="center"/>
    </xf>
    <xf numFmtId="0" fontId="5" fillId="46" borderId="44" xfId="0" applyFont="1" applyFill="1" applyBorder="1" applyAlignment="1" applyProtection="1">
      <alignment horizontal="center"/>
      <protection/>
    </xf>
    <xf numFmtId="0" fontId="5" fillId="46" borderId="45" xfId="0" applyFont="1" applyFill="1" applyBorder="1" applyAlignment="1" applyProtection="1">
      <alignment horizontal="center"/>
      <protection/>
    </xf>
    <xf numFmtId="0" fontId="5" fillId="46" borderId="46" xfId="0" applyFont="1" applyFill="1" applyBorder="1" applyAlignment="1" applyProtection="1">
      <alignment horizontal="center"/>
      <protection/>
    </xf>
    <xf numFmtId="0" fontId="32" fillId="35" borderId="32" xfId="0" applyFont="1" applyFill="1" applyBorder="1" applyAlignment="1" applyProtection="1">
      <alignment horizontal="center" vertical="center"/>
      <protection/>
    </xf>
    <xf numFmtId="0" fontId="32" fillId="35" borderId="33" xfId="0" applyFont="1" applyFill="1" applyBorder="1" applyAlignment="1" applyProtection="1">
      <alignment horizontal="center" vertical="center"/>
      <protection/>
    </xf>
    <xf numFmtId="0" fontId="32" fillId="35" borderId="34" xfId="0" applyFont="1" applyFill="1" applyBorder="1" applyAlignment="1" applyProtection="1">
      <alignment horizontal="center" vertical="center"/>
      <protection/>
    </xf>
    <xf numFmtId="0" fontId="32" fillId="37" borderId="32" xfId="0" applyFont="1" applyFill="1" applyBorder="1" applyAlignment="1" applyProtection="1">
      <alignment horizontal="center" vertical="center"/>
      <protection/>
    </xf>
    <xf numFmtId="0" fontId="32" fillId="37" borderId="33" xfId="0" applyFont="1" applyFill="1" applyBorder="1" applyAlignment="1" applyProtection="1">
      <alignment horizontal="center" vertical="center"/>
      <protection/>
    </xf>
    <xf numFmtId="0" fontId="32" fillId="37" borderId="34" xfId="0" applyFont="1" applyFill="1" applyBorder="1" applyAlignment="1" applyProtection="1">
      <alignment horizontal="center" vertical="center"/>
      <protection/>
    </xf>
    <xf numFmtId="2" fontId="37" fillId="0" borderId="47" xfId="0" applyNumberFormat="1" applyFont="1" applyFill="1" applyBorder="1" applyAlignment="1" applyProtection="1">
      <alignment horizontal="center" vertical="center"/>
      <protection locked="0"/>
    </xf>
    <xf numFmtId="2" fontId="37" fillId="0" borderId="48" xfId="0" applyNumberFormat="1" applyFont="1" applyFill="1" applyBorder="1" applyAlignment="1" applyProtection="1">
      <alignment horizontal="center" vertical="center"/>
      <protection locked="0"/>
    </xf>
    <xf numFmtId="2" fontId="37" fillId="0" borderId="49" xfId="0" applyNumberFormat="1" applyFont="1" applyFill="1" applyBorder="1" applyAlignment="1" applyProtection="1">
      <alignment horizontal="center" vertical="center"/>
      <protection locked="0"/>
    </xf>
    <xf numFmtId="2" fontId="37" fillId="0" borderId="36" xfId="0" applyNumberFormat="1" applyFont="1" applyFill="1" applyBorder="1" applyAlignment="1" applyProtection="1">
      <alignment horizontal="center" vertical="center"/>
      <protection locked="0"/>
    </xf>
    <xf numFmtId="2" fontId="37" fillId="0" borderId="50" xfId="0" applyNumberFormat="1" applyFont="1" applyFill="1" applyBorder="1" applyAlignment="1" applyProtection="1">
      <alignment horizontal="center" vertical="center"/>
      <protection locked="0"/>
    </xf>
    <xf numFmtId="2" fontId="37" fillId="0" borderId="51" xfId="0" applyNumberFormat="1" applyFont="1" applyFill="1" applyBorder="1" applyAlignment="1" applyProtection="1">
      <alignment horizontal="center" vertical="center"/>
      <protection locked="0"/>
    </xf>
    <xf numFmtId="2" fontId="37" fillId="0" borderId="37" xfId="0" applyNumberFormat="1" applyFont="1" applyFill="1" applyBorder="1" applyAlignment="1" applyProtection="1">
      <alignment horizontal="center" vertical="center"/>
      <protection locked="0"/>
    </xf>
    <xf numFmtId="2" fontId="37" fillId="0" borderId="52" xfId="0" applyNumberFormat="1" applyFont="1" applyFill="1" applyBorder="1" applyAlignment="1" applyProtection="1">
      <alignment horizontal="center" vertical="center"/>
      <protection locked="0"/>
    </xf>
    <xf numFmtId="2" fontId="37" fillId="0" borderId="53" xfId="0" applyNumberFormat="1" applyFont="1" applyFill="1" applyBorder="1" applyAlignment="1" applyProtection="1">
      <alignment horizontal="center" vertical="center"/>
      <protection locked="0"/>
    </xf>
    <xf numFmtId="183" fontId="37" fillId="0" borderId="47" xfId="0" applyNumberFormat="1" applyFont="1" applyFill="1" applyBorder="1" applyAlignment="1" applyProtection="1">
      <alignment horizontal="center" vertical="center"/>
      <protection locked="0"/>
    </xf>
    <xf numFmtId="183" fontId="37" fillId="0" borderId="48" xfId="0" applyNumberFormat="1" applyFont="1" applyFill="1" applyBorder="1" applyAlignment="1" applyProtection="1">
      <alignment horizontal="center" vertical="center"/>
      <protection locked="0"/>
    </xf>
    <xf numFmtId="183" fontId="37" fillId="0" borderId="49" xfId="0" applyNumberFormat="1" applyFont="1" applyFill="1" applyBorder="1" applyAlignment="1" applyProtection="1">
      <alignment horizontal="center" vertical="center"/>
      <protection locked="0"/>
    </xf>
    <xf numFmtId="0" fontId="38" fillId="35" borderId="54" xfId="0" applyFont="1" applyFill="1" applyBorder="1" applyAlignment="1" applyProtection="1">
      <alignment horizontal="center" vertical="center" wrapText="1"/>
      <protection/>
    </xf>
    <xf numFmtId="0" fontId="38" fillId="35" borderId="46" xfId="0" applyFont="1" applyFill="1" applyBorder="1" applyAlignment="1" applyProtection="1">
      <alignment horizontal="center" vertical="center" wrapText="1"/>
      <protection/>
    </xf>
    <xf numFmtId="0" fontId="38" fillId="35" borderId="55" xfId="0" applyFont="1" applyFill="1" applyBorder="1" applyAlignment="1" applyProtection="1">
      <alignment horizontal="center" vertical="center" wrapText="1"/>
      <protection/>
    </xf>
    <xf numFmtId="0" fontId="38" fillId="35" borderId="35" xfId="0" applyFont="1" applyFill="1" applyBorder="1" applyAlignment="1" applyProtection="1">
      <alignment horizontal="center" vertical="center" wrapText="1"/>
      <protection/>
    </xf>
    <xf numFmtId="0" fontId="38" fillId="35" borderId="56" xfId="0" applyFont="1" applyFill="1" applyBorder="1" applyAlignment="1" applyProtection="1">
      <alignment horizontal="center" vertical="center" wrapText="1"/>
      <protection/>
    </xf>
    <xf numFmtId="0" fontId="38" fillId="35" borderId="57" xfId="0" applyFont="1" applyFill="1" applyBorder="1" applyAlignment="1" applyProtection="1">
      <alignment horizontal="center" vertical="center" wrapText="1"/>
      <protection/>
    </xf>
    <xf numFmtId="0" fontId="32" fillId="34" borderId="32" xfId="0" applyFont="1" applyFill="1" applyBorder="1" applyAlignment="1" applyProtection="1">
      <alignment horizontal="center" vertical="center"/>
      <protection/>
    </xf>
    <xf numFmtId="0" fontId="32" fillId="34" borderId="33" xfId="0" applyFont="1" applyFill="1" applyBorder="1" applyAlignment="1" applyProtection="1">
      <alignment horizontal="center" vertical="center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4" fontId="63" fillId="39" borderId="47" xfId="0" applyNumberFormat="1" applyFont="1" applyFill="1" applyBorder="1" applyAlignment="1" applyProtection="1">
      <alignment horizontal="center" vertical="center"/>
      <protection/>
    </xf>
    <xf numFmtId="4" fontId="63" fillId="39" borderId="48" xfId="0" applyNumberFormat="1" applyFont="1" applyFill="1" applyBorder="1" applyAlignment="1" applyProtection="1">
      <alignment horizontal="center" vertical="center"/>
      <protection/>
    </xf>
    <xf numFmtId="4" fontId="63" fillId="39" borderId="49" xfId="0" applyNumberFormat="1" applyFont="1" applyFill="1" applyBorder="1" applyAlignment="1" applyProtection="1">
      <alignment horizontal="center" vertical="center"/>
      <protection/>
    </xf>
    <xf numFmtId="0" fontId="32" fillId="37" borderId="58" xfId="0" applyFont="1" applyFill="1" applyBorder="1" applyAlignment="1" applyProtection="1">
      <alignment horizontal="center" vertical="center"/>
      <protection/>
    </xf>
    <xf numFmtId="0" fontId="32" fillId="37" borderId="31" xfId="0" applyFont="1" applyFill="1" applyBorder="1" applyAlignment="1" applyProtection="1">
      <alignment horizontal="center" vertical="center"/>
      <protection/>
    </xf>
    <xf numFmtId="4" fontId="63" fillId="39" borderId="59" xfId="0" applyNumberFormat="1" applyFont="1" applyFill="1" applyBorder="1" applyAlignment="1" applyProtection="1">
      <alignment horizontal="center" vertical="center"/>
      <protection/>
    </xf>
    <xf numFmtId="4" fontId="63" fillId="39" borderId="60" xfId="0" applyNumberFormat="1" applyFont="1" applyFill="1" applyBorder="1" applyAlignment="1" applyProtection="1">
      <alignment horizontal="center" vertical="center"/>
      <protection/>
    </xf>
    <xf numFmtId="4" fontId="63" fillId="39" borderId="55" xfId="0" applyNumberFormat="1" applyFont="1" applyFill="1" applyBorder="1" applyAlignment="1" applyProtection="1">
      <alignment horizontal="center" vertical="center"/>
      <protection/>
    </xf>
    <xf numFmtId="4" fontId="63" fillId="39" borderId="35" xfId="0" applyNumberFormat="1" applyFont="1" applyFill="1" applyBorder="1" applyAlignment="1" applyProtection="1">
      <alignment horizontal="center" vertical="center"/>
      <protection/>
    </xf>
    <xf numFmtId="4" fontId="63" fillId="39" borderId="56" xfId="0" applyNumberFormat="1" applyFont="1" applyFill="1" applyBorder="1" applyAlignment="1" applyProtection="1">
      <alignment horizontal="center" vertical="center"/>
      <protection/>
    </xf>
    <xf numFmtId="4" fontId="63" fillId="39" borderId="57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16</xdr:col>
      <xdr:colOff>9525</xdr:colOff>
      <xdr:row>2</xdr:row>
      <xdr:rowOff>9525</xdr:rowOff>
    </xdr:to>
    <xdr:pic>
      <xdr:nvPicPr>
        <xdr:cNvPr id="1" name="Obraz 1" descr="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30873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0</xdr:row>
      <xdr:rowOff>19050</xdr:rowOff>
    </xdr:to>
    <xdr:pic>
      <xdr:nvPicPr>
        <xdr:cNvPr id="2" name="Obraz 2" descr="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873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17</xdr:col>
      <xdr:colOff>514350</xdr:colOff>
      <xdr:row>0</xdr:row>
      <xdr:rowOff>19050</xdr:rowOff>
    </xdr:to>
    <xdr:pic>
      <xdr:nvPicPr>
        <xdr:cNvPr id="1" name="Obraz 2" descr="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0"/>
          <a:ext cx="18783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19050</xdr:rowOff>
    </xdr:from>
    <xdr:to>
      <xdr:col>8</xdr:col>
      <xdr:colOff>1438275</xdr:colOff>
      <xdr:row>2</xdr:row>
      <xdr:rowOff>9525</xdr:rowOff>
    </xdr:to>
    <xdr:pic>
      <xdr:nvPicPr>
        <xdr:cNvPr id="2" name="Obraz 1" descr="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130111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1076325</xdr:colOff>
      <xdr:row>0</xdr:row>
      <xdr:rowOff>19050</xdr:rowOff>
    </xdr:to>
    <xdr:pic>
      <xdr:nvPicPr>
        <xdr:cNvPr id="1" name="Obraz 2" descr="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631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8</xdr:col>
      <xdr:colOff>1438275</xdr:colOff>
      <xdr:row>1</xdr:row>
      <xdr:rowOff>2076450</xdr:rowOff>
    </xdr:to>
    <xdr:pic>
      <xdr:nvPicPr>
        <xdr:cNvPr id="2" name="Obraz 1" descr="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30206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1076325</xdr:colOff>
      <xdr:row>0</xdr:row>
      <xdr:rowOff>19050</xdr:rowOff>
    </xdr:to>
    <xdr:pic>
      <xdr:nvPicPr>
        <xdr:cNvPr id="1" name="Obraz 2" descr="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631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8</xdr:col>
      <xdr:colOff>1438275</xdr:colOff>
      <xdr:row>1</xdr:row>
      <xdr:rowOff>2076450</xdr:rowOff>
    </xdr:to>
    <xdr:pic>
      <xdr:nvPicPr>
        <xdr:cNvPr id="2" name="Obraz 1" descr="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30206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showGridLines="0" showRowColHeaders="0" zoomScalePageLayoutView="0" workbookViewId="0" topLeftCell="A1">
      <selection activeCell="B6" sqref="B6:G6"/>
    </sheetView>
  </sheetViews>
  <sheetFormatPr defaultColWidth="9.140625" defaultRowHeight="12.75"/>
  <cols>
    <col min="1" max="13" width="21.7109375" style="0" customWidth="1"/>
  </cols>
  <sheetData>
    <row r="1" spans="1:8" ht="45" customHeight="1" thickBot="1">
      <c r="A1" s="117" t="s">
        <v>92</v>
      </c>
      <c r="B1" s="117"/>
      <c r="C1" s="117"/>
      <c r="D1" s="117"/>
      <c r="E1" s="117"/>
      <c r="F1" s="117"/>
      <c r="G1" s="117"/>
      <c r="H1" s="117"/>
    </row>
    <row r="2" spans="2:8" ht="45" customHeight="1" thickBot="1">
      <c r="B2" s="66"/>
      <c r="C2" s="118" t="s">
        <v>71</v>
      </c>
      <c r="D2" s="119"/>
      <c r="E2" s="88"/>
      <c r="F2" s="118" t="s">
        <v>70</v>
      </c>
      <c r="G2" s="119"/>
      <c r="H2" s="119"/>
    </row>
    <row r="3" spans="3:5" ht="45" customHeight="1" thickBot="1">
      <c r="C3" s="68"/>
      <c r="D3" s="68"/>
      <c r="E3" s="68"/>
    </row>
    <row r="4" spans="2:8" ht="45" customHeight="1" thickBot="1">
      <c r="B4" s="69" t="s">
        <v>69</v>
      </c>
      <c r="C4" s="118" t="s">
        <v>72</v>
      </c>
      <c r="D4" s="120"/>
      <c r="E4" s="70" t="s">
        <v>68</v>
      </c>
      <c r="F4" s="118" t="s">
        <v>67</v>
      </c>
      <c r="G4" s="119"/>
      <c r="H4" s="119"/>
    </row>
    <row r="5" ht="45" customHeight="1" thickBot="1"/>
    <row r="6" spans="2:7" ht="66.75" customHeight="1" thickBot="1">
      <c r="B6" s="121" t="s">
        <v>77</v>
      </c>
      <c r="C6" s="122"/>
      <c r="D6" s="122"/>
      <c r="E6" s="122"/>
      <c r="F6" s="122"/>
      <c r="G6" s="123"/>
    </row>
    <row r="7" ht="45" customHeight="1" thickBot="1"/>
    <row r="8" spans="3:6" ht="45" customHeight="1" thickBot="1">
      <c r="C8" s="114" t="s">
        <v>73</v>
      </c>
      <c r="D8" s="115"/>
      <c r="E8" s="115"/>
      <c r="F8" s="116"/>
    </row>
    <row r="9" ht="45" customHeight="1"/>
    <row r="10" ht="45" customHeight="1"/>
    <row r="11" ht="45" customHeight="1"/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</sheetData>
  <sheetProtection password="D2AD" sheet="1"/>
  <mergeCells count="7">
    <mergeCell ref="C8:F8"/>
    <mergeCell ref="A1:H1"/>
    <mergeCell ref="C2:D2"/>
    <mergeCell ref="F2:H2"/>
    <mergeCell ref="F4:H4"/>
    <mergeCell ref="C4:D4"/>
    <mergeCell ref="B6:G6"/>
  </mergeCells>
  <dataValidations count="1">
    <dataValidation type="list" allowBlank="1" showInputMessage="1" showErrorMessage="1" sqref="E2">
      <formula1>"Opcja 1,Opcja 2"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"/>
  <sheetViews>
    <sheetView showGridLines="0" showRowColHeaders="0" zoomScale="88" zoomScaleNormal="88" workbookViewId="0" topLeftCell="A1">
      <selection activeCell="A1" sqref="A1:P1"/>
    </sheetView>
  </sheetViews>
  <sheetFormatPr defaultColWidth="9.140625" defaultRowHeight="12.75"/>
  <cols>
    <col min="1" max="1" width="35.421875" style="0" customWidth="1"/>
    <col min="2" max="16" width="10.7109375" style="0" customWidth="1"/>
    <col min="17" max="17" width="14.28125" style="0" customWidth="1"/>
  </cols>
  <sheetData>
    <row r="1" spans="1:28" ht="24.75" customHeight="1" thickBot="1">
      <c r="A1" s="124" t="s">
        <v>38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6:28" ht="164.25" customHeight="1" thickBot="1">
      <c r="P2" s="6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4.75" customHeight="1">
      <c r="A3" s="134"/>
      <c r="B3" s="132"/>
      <c r="C3" s="132"/>
      <c r="D3" s="132"/>
      <c r="E3" s="132" t="s">
        <v>39</v>
      </c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4.75" customHeight="1">
      <c r="A4" s="19"/>
      <c r="B4" s="127" t="s">
        <v>30</v>
      </c>
      <c r="C4" s="127"/>
      <c r="D4" s="128" t="s">
        <v>6</v>
      </c>
      <c r="E4" s="128"/>
      <c r="F4" s="129" t="s">
        <v>7</v>
      </c>
      <c r="G4" s="129"/>
      <c r="H4" s="129"/>
      <c r="I4" s="129"/>
      <c r="J4" s="130" t="s">
        <v>8</v>
      </c>
      <c r="K4" s="130"/>
      <c r="L4" s="130"/>
      <c r="M4" s="130"/>
      <c r="N4" s="130"/>
      <c r="O4" s="130"/>
      <c r="P4" s="131"/>
      <c r="Q4" s="1"/>
      <c r="T4" s="1"/>
      <c r="U4" s="1"/>
      <c r="V4" s="1"/>
      <c r="W4" s="1"/>
      <c r="X4" s="1"/>
      <c r="Y4" s="1"/>
      <c r="Z4" s="1"/>
      <c r="AA4" s="1"/>
      <c r="AB4" s="1"/>
    </row>
    <row r="5" spans="1:28" ht="24.75" customHeight="1">
      <c r="A5" s="28" t="s">
        <v>9</v>
      </c>
      <c r="B5" s="130" t="s">
        <v>10</v>
      </c>
      <c r="C5" s="130"/>
      <c r="D5" s="135" t="s">
        <v>11</v>
      </c>
      <c r="E5" s="135"/>
      <c r="F5" s="130" t="s">
        <v>12</v>
      </c>
      <c r="G5" s="130"/>
      <c r="H5" s="130" t="s">
        <v>37</v>
      </c>
      <c r="I5" s="130"/>
      <c r="J5" s="130" t="s">
        <v>8</v>
      </c>
      <c r="K5" s="130"/>
      <c r="L5" s="130"/>
      <c r="M5" s="130"/>
      <c r="N5" s="130"/>
      <c r="O5" s="130"/>
      <c r="P5" s="131"/>
      <c r="Q5" s="1"/>
      <c r="T5" s="1"/>
      <c r="U5" s="1"/>
      <c r="V5" s="1"/>
      <c r="W5" s="1"/>
      <c r="X5" s="1"/>
      <c r="Y5" s="1"/>
      <c r="Z5" s="1"/>
      <c r="AA5" s="1"/>
      <c r="AB5" s="1"/>
    </row>
    <row r="6" spans="1:28" ht="24.75" customHeight="1">
      <c r="A6" s="28" t="s">
        <v>13</v>
      </c>
      <c r="B6" s="136">
        <v>84</v>
      </c>
      <c r="C6" s="136"/>
      <c r="D6" s="136">
        <v>73.5</v>
      </c>
      <c r="E6" s="136"/>
      <c r="F6" s="136">
        <v>17</v>
      </c>
      <c r="G6" s="136"/>
      <c r="H6" s="136">
        <v>0</v>
      </c>
      <c r="I6" s="136"/>
      <c r="J6" s="136">
        <v>25</v>
      </c>
      <c r="K6" s="136"/>
      <c r="L6" s="136"/>
      <c r="M6" s="136"/>
      <c r="N6" s="136"/>
      <c r="O6" s="136"/>
      <c r="P6" s="137"/>
      <c r="Q6" s="1"/>
      <c r="T6" s="1"/>
      <c r="U6" s="1"/>
      <c r="V6" s="1"/>
      <c r="W6" s="1"/>
      <c r="X6" s="1"/>
      <c r="Y6" s="1"/>
      <c r="Z6" s="1"/>
      <c r="AA6" s="1"/>
      <c r="AB6" s="1"/>
    </row>
    <row r="7" spans="1:28" ht="24.75" customHeight="1">
      <c r="A7" s="28" t="s">
        <v>14</v>
      </c>
      <c r="B7" s="136">
        <v>1000</v>
      </c>
      <c r="C7" s="136"/>
      <c r="D7" s="136">
        <v>1000</v>
      </c>
      <c r="E7" s="136"/>
      <c r="F7" s="136">
        <v>1000</v>
      </c>
      <c r="G7" s="136"/>
      <c r="H7" s="136"/>
      <c r="I7" s="136"/>
      <c r="J7" s="136">
        <v>1000</v>
      </c>
      <c r="K7" s="136"/>
      <c r="L7" s="136"/>
      <c r="M7" s="136"/>
      <c r="N7" s="136"/>
      <c r="O7" s="136"/>
      <c r="P7" s="137"/>
      <c r="Q7" s="1"/>
      <c r="T7" s="1"/>
      <c r="U7" s="1"/>
      <c r="V7" s="1"/>
      <c r="W7" s="1"/>
      <c r="X7" s="1"/>
      <c r="Y7" s="1"/>
      <c r="Z7" s="1"/>
      <c r="AA7" s="1"/>
      <c r="AB7" s="1"/>
    </row>
    <row r="8" spans="1:28" ht="24.75" customHeight="1">
      <c r="A8" s="138" t="s">
        <v>20</v>
      </c>
      <c r="B8" s="30" t="s">
        <v>17</v>
      </c>
      <c r="C8" s="30" t="s">
        <v>19</v>
      </c>
      <c r="D8" s="30" t="s">
        <v>6</v>
      </c>
      <c r="E8" s="30" t="s">
        <v>18</v>
      </c>
      <c r="F8" s="140" t="s">
        <v>7</v>
      </c>
      <c r="G8" s="140"/>
      <c r="H8" s="30" t="s">
        <v>18</v>
      </c>
      <c r="I8" s="30" t="s">
        <v>22</v>
      </c>
      <c r="J8" s="30" t="s">
        <v>19</v>
      </c>
      <c r="K8" s="30" t="s">
        <v>6</v>
      </c>
      <c r="L8" s="30" t="s">
        <v>7</v>
      </c>
      <c r="M8" s="30" t="s">
        <v>17</v>
      </c>
      <c r="N8" s="30" t="s">
        <v>18</v>
      </c>
      <c r="O8" s="30" t="s">
        <v>22</v>
      </c>
      <c r="P8" s="3" t="s">
        <v>23</v>
      </c>
      <c r="Q8" s="25"/>
      <c r="R8" s="25" t="s">
        <v>18</v>
      </c>
      <c r="S8" s="25" t="s">
        <v>17</v>
      </c>
      <c r="T8" s="25" t="s">
        <v>22</v>
      </c>
      <c r="U8" s="25" t="s">
        <v>7</v>
      </c>
      <c r="V8" s="25" t="s">
        <v>6</v>
      </c>
      <c r="W8" s="25" t="s">
        <v>23</v>
      </c>
      <c r="X8" s="25" t="s">
        <v>16</v>
      </c>
      <c r="Y8" s="25" t="s">
        <v>24</v>
      </c>
      <c r="Z8" s="25"/>
      <c r="AA8" s="25"/>
      <c r="AB8" s="1"/>
    </row>
    <row r="9" spans="1:28" ht="24.75" customHeight="1">
      <c r="A9" s="139"/>
      <c r="B9" s="29">
        <f>B6*R13/R26/B7*1000</f>
        <v>22.98798285468863</v>
      </c>
      <c r="C9" s="29">
        <f>B6*R25/R26/B7*1000</f>
        <v>61.01201714531137</v>
      </c>
      <c r="D9" s="29">
        <f>D6*R20/R32/D7*1000</f>
        <v>20.037015381333656</v>
      </c>
      <c r="E9" s="29">
        <f>D6*R14*2/R32/D7*1000</f>
        <v>35.449488812536664</v>
      </c>
      <c r="F9" s="141">
        <f>(F6*R15/R28/F7*1000)+H6*R15/R27/F7*1000</f>
        <v>2.0323637642159955</v>
      </c>
      <c r="G9" s="141"/>
      <c r="H9" s="29">
        <f>F6*R14*2/R28/F7*1000</f>
        <v>5.9291003935609705</v>
      </c>
      <c r="I9" s="29">
        <f>H6*R23/R27/F7*1000</f>
        <v>0</v>
      </c>
      <c r="J9" s="29">
        <f>$J$6*Y11/$Z$11/$J$7*1000</f>
        <v>0.3631004252441701</v>
      </c>
      <c r="K9" s="29">
        <f>$J$6*V11/$Z$11/$J$7*1000</f>
        <v>0.990490340338195</v>
      </c>
      <c r="L9" s="29">
        <f>$J$6*U11/$Z$11/$J$7*1000</f>
        <v>3.083377381581641</v>
      </c>
      <c r="M9" s="29">
        <f>$J$6*S11/$Z$11/$J$7*1000</f>
        <v>2.6260630109123717</v>
      </c>
      <c r="N9" s="29">
        <f>$J$6*R11/$Z$11/$J$7*1000</f>
        <v>10.634376931880468</v>
      </c>
      <c r="O9" s="29">
        <f>$J$6*T11/$Z$11/$J$7*1000</f>
        <v>6.431044253013137</v>
      </c>
      <c r="P9" s="8">
        <f>$J$6*W11/$Z$11/$J$7*1000</f>
        <v>0.9285846940670579</v>
      </c>
      <c r="Q9" s="25" t="s">
        <v>25</v>
      </c>
      <c r="R9" s="25">
        <v>19314</v>
      </c>
      <c r="S9" s="25">
        <v>10731</v>
      </c>
      <c r="T9" s="25">
        <v>2701</v>
      </c>
      <c r="U9" s="25">
        <v>1295</v>
      </c>
      <c r="V9" s="25">
        <v>416</v>
      </c>
      <c r="W9" s="25">
        <v>390</v>
      </c>
      <c r="X9" s="25"/>
      <c r="Y9" s="25">
        <v>152.5</v>
      </c>
      <c r="Z9" s="25">
        <f>SUM(R9:Y9)</f>
        <v>34999.5</v>
      </c>
      <c r="AA9" s="25"/>
      <c r="AB9" s="1"/>
    </row>
    <row r="10" spans="1:28" ht="24.75" customHeight="1">
      <c r="A10" s="28" t="s">
        <v>33</v>
      </c>
      <c r="B10" s="2"/>
      <c r="C10" s="9">
        <f>C9/R25</f>
        <v>0.9999209586289847</v>
      </c>
      <c r="D10" s="10"/>
      <c r="E10" s="10"/>
      <c r="F10" s="10"/>
      <c r="G10" s="10"/>
      <c r="H10" s="10"/>
      <c r="I10" s="10"/>
      <c r="J10" s="9">
        <f>J9/R25</f>
        <v>0.005950823170196459</v>
      </c>
      <c r="K10" s="2"/>
      <c r="L10" s="2"/>
      <c r="M10" s="2"/>
      <c r="N10" s="2"/>
      <c r="O10" s="2"/>
      <c r="P10" s="4"/>
      <c r="Q10" s="25" t="s">
        <v>26</v>
      </c>
      <c r="R10" s="25">
        <f>Z10*R14/58.5</f>
        <v>14847.625494871794</v>
      </c>
      <c r="S10" s="25">
        <f>Z10*R13/58.5</f>
        <v>9628.069291794869</v>
      </c>
      <c r="T10" s="25"/>
      <c r="U10" s="25"/>
      <c r="V10" s="25"/>
      <c r="W10" s="25"/>
      <c r="X10" s="25"/>
      <c r="Y10" s="25"/>
      <c r="Z10" s="25">
        <f>Z9*0.7</f>
        <v>24499.649999999998</v>
      </c>
      <c r="AA10" s="25"/>
      <c r="AB10" s="1"/>
    </row>
    <row r="11" spans="1:28" ht="24.75" customHeight="1" thickBot="1">
      <c r="A11" s="20" t="s">
        <v>32</v>
      </c>
      <c r="B11" s="21"/>
      <c r="C11" s="22">
        <f>C10*2.8</f>
        <v>2.799778684161157</v>
      </c>
      <c r="D11" s="23"/>
      <c r="E11" s="23"/>
      <c r="F11" s="23"/>
      <c r="G11" s="23"/>
      <c r="H11" s="23"/>
      <c r="I11" s="23"/>
      <c r="J11" s="22">
        <f>J10*2.8</f>
        <v>0.016662304876550085</v>
      </c>
      <c r="K11" s="21"/>
      <c r="L11" s="21"/>
      <c r="M11" s="21"/>
      <c r="N11" s="21"/>
      <c r="O11" s="21"/>
      <c r="P11" s="24"/>
      <c r="Q11" s="25" t="s">
        <v>8</v>
      </c>
      <c r="R11" s="25">
        <f>R9-R10</f>
        <v>4466.374505128206</v>
      </c>
      <c r="S11" s="25">
        <f>S9-S10</f>
        <v>1102.930708205131</v>
      </c>
      <c r="T11" s="25">
        <f>T9</f>
        <v>2701</v>
      </c>
      <c r="U11" s="25">
        <f>U9</f>
        <v>1295</v>
      </c>
      <c r="V11" s="25">
        <f>V9</f>
        <v>416</v>
      </c>
      <c r="W11" s="25">
        <f>W9</f>
        <v>390</v>
      </c>
      <c r="X11" s="25"/>
      <c r="Y11" s="25">
        <f>Y9</f>
        <v>152.5</v>
      </c>
      <c r="Z11" s="25">
        <f>Z9-Z10</f>
        <v>10499.850000000002</v>
      </c>
      <c r="AA11" s="25"/>
      <c r="AB11" s="1"/>
    </row>
    <row r="12" spans="1:28" ht="24.75" customHeight="1">
      <c r="A12" s="14" t="s">
        <v>43</v>
      </c>
      <c r="B12" s="102"/>
      <c r="C12" s="161" t="s">
        <v>42</v>
      </c>
      <c r="D12" s="161"/>
      <c r="E12" s="161"/>
      <c r="F12" s="161"/>
      <c r="G12" s="104"/>
      <c r="H12" s="105"/>
      <c r="I12" s="106"/>
      <c r="J12" s="162" t="s">
        <v>44</v>
      </c>
      <c r="K12" s="162"/>
      <c r="L12" s="162"/>
      <c r="M12" s="162"/>
      <c r="N12" s="162"/>
      <c r="O12" s="106"/>
      <c r="P12" s="107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1"/>
    </row>
    <row r="13" spans="1:28" ht="24.75" customHeight="1">
      <c r="A13" s="15" t="s">
        <v>29</v>
      </c>
      <c r="B13" s="139" t="s">
        <v>28</v>
      </c>
      <c r="C13" s="130"/>
      <c r="D13" s="130"/>
      <c r="E13" s="130"/>
      <c r="F13" s="130"/>
      <c r="G13" s="131"/>
      <c r="H13" s="164" t="s">
        <v>34</v>
      </c>
      <c r="I13" s="165"/>
      <c r="J13" s="165"/>
      <c r="K13" s="165"/>
      <c r="L13" s="130" t="s">
        <v>35</v>
      </c>
      <c r="M13" s="130"/>
      <c r="N13" s="130"/>
      <c r="O13" s="130"/>
      <c r="P13" s="131"/>
      <c r="Q13" s="25" t="s">
        <v>78</v>
      </c>
      <c r="R13" s="25">
        <v>22.9898</v>
      </c>
      <c r="S13" s="25"/>
      <c r="T13" s="25"/>
      <c r="U13" s="25"/>
      <c r="V13" s="25"/>
      <c r="W13" s="25"/>
      <c r="X13" s="25"/>
      <c r="Y13" s="25"/>
      <c r="Z13" s="25"/>
      <c r="AA13" s="25"/>
      <c r="AB13" s="1"/>
    </row>
    <row r="14" spans="1:28" ht="24.75" customHeight="1">
      <c r="A14" s="143">
        <v>800</v>
      </c>
      <c r="B14" s="144" t="str">
        <f>A17</f>
        <v>kH</v>
      </c>
      <c r="C14" s="127"/>
      <c r="D14" s="128" t="s">
        <v>6</v>
      </c>
      <c r="E14" s="128"/>
      <c r="F14" s="129" t="s">
        <v>7</v>
      </c>
      <c r="G14" s="145"/>
      <c r="H14" s="17" t="s">
        <v>16</v>
      </c>
      <c r="I14" s="6" t="s">
        <v>6</v>
      </c>
      <c r="J14" s="7" t="s">
        <v>7</v>
      </c>
      <c r="K14" s="30" t="s">
        <v>8</v>
      </c>
      <c r="L14" s="5" t="s">
        <v>16</v>
      </c>
      <c r="M14" s="6" t="s">
        <v>6</v>
      </c>
      <c r="N14" s="7" t="s">
        <v>7</v>
      </c>
      <c r="O14" s="157" t="str">
        <f>"Wzrost zasolenia ("&amp;A20&amp;")"</f>
        <v>Wzrost zasolenia (PSU)</v>
      </c>
      <c r="P14" s="158"/>
      <c r="Q14" s="25" t="s">
        <v>79</v>
      </c>
      <c r="R14" s="25">
        <v>35.453</v>
      </c>
      <c r="S14" s="25"/>
      <c r="T14" s="25"/>
      <c r="U14" s="25"/>
      <c r="V14" s="25"/>
      <c r="W14" s="25"/>
      <c r="X14" s="25"/>
      <c r="Y14" s="25"/>
      <c r="Z14" s="25"/>
      <c r="AA14" s="25"/>
      <c r="AB14" s="1"/>
    </row>
    <row r="15" spans="1:28" ht="24.75" customHeight="1" thickBot="1">
      <c r="A15" s="143"/>
      <c r="B15" s="154">
        <v>7</v>
      </c>
      <c r="C15" s="136"/>
      <c r="D15" s="136">
        <v>400</v>
      </c>
      <c r="E15" s="136"/>
      <c r="F15" s="136">
        <v>1200</v>
      </c>
      <c r="G15" s="137"/>
      <c r="H15" s="26">
        <v>100</v>
      </c>
      <c r="I15" s="27">
        <v>100</v>
      </c>
      <c r="J15" s="27">
        <v>100</v>
      </c>
      <c r="K15" s="27">
        <v>0</v>
      </c>
      <c r="L15" s="18">
        <f>IF(A17="kH",K15*J11/A14+B15+H15/A14*C11,K15*J10/A14+B15+H15/A14*C10)</f>
        <v>7.349972335520144</v>
      </c>
      <c r="M15" s="18">
        <f>K15*K9/A14+D15+I15/A14*D9</f>
        <v>402.5046269226667</v>
      </c>
      <c r="N15" s="18">
        <f>K15*L9/A14+F15+J15/A14*F9</f>
        <v>1200.254045470527</v>
      </c>
      <c r="O15" s="159">
        <f>IF(A20="PSU",(SUM(B9,C9)*H15+SUM(D9,E9)*I15+SUM(F9,H9,I9)*J15+SUM(J9:P9)*K15)/1000/A14,(SUM(B9,C9)*H15+SUM(D9,E9)*I15+SUM(F9,H9,I9)*J15+SUM(J9:P9)*K15)/1000/A14*0.0264/35)</f>
        <v>0.018430996043955913</v>
      </c>
      <c r="P15" s="160"/>
      <c r="Q15" s="25" t="s">
        <v>80</v>
      </c>
      <c r="R15" s="25">
        <v>24.305</v>
      </c>
      <c r="S15" s="25"/>
      <c r="T15" s="25"/>
      <c r="U15" s="25"/>
      <c r="V15" s="25"/>
      <c r="W15" s="25"/>
      <c r="X15" s="25"/>
      <c r="Y15" s="25"/>
      <c r="Z15" s="25"/>
      <c r="AA15" s="25"/>
      <c r="AB15" s="1"/>
    </row>
    <row r="16" spans="1:28" ht="24.75" customHeight="1">
      <c r="A16" s="15" t="s">
        <v>30</v>
      </c>
      <c r="B16" s="139" t="s">
        <v>27</v>
      </c>
      <c r="C16" s="130"/>
      <c r="D16" s="130"/>
      <c r="E16" s="130"/>
      <c r="F16" s="130"/>
      <c r="G16" s="131"/>
      <c r="H16" s="102"/>
      <c r="I16" s="103"/>
      <c r="J16" s="161" t="s">
        <v>36</v>
      </c>
      <c r="K16" s="161"/>
      <c r="L16" s="161"/>
      <c r="M16" s="161"/>
      <c r="N16" s="161"/>
      <c r="O16" s="103"/>
      <c r="P16" s="104"/>
      <c r="Q16" s="25" t="s">
        <v>81</v>
      </c>
      <c r="R16" s="25">
        <v>12.0107</v>
      </c>
      <c r="S16" s="25"/>
      <c r="T16" s="25"/>
      <c r="U16" s="25"/>
      <c r="V16" s="25"/>
      <c r="W16" s="25"/>
      <c r="X16" s="25"/>
      <c r="Y16" s="25"/>
      <c r="Z16" s="25"/>
      <c r="AA16" s="25"/>
      <c r="AB16" s="1"/>
    </row>
    <row r="17" spans="1:28" ht="24.75" customHeight="1">
      <c r="A17" s="146" t="s">
        <v>16</v>
      </c>
      <c r="B17" s="144" t="str">
        <f>A17</f>
        <v>kH</v>
      </c>
      <c r="C17" s="127"/>
      <c r="D17" s="128" t="s">
        <v>6</v>
      </c>
      <c r="E17" s="128"/>
      <c r="F17" s="129" t="s">
        <v>7</v>
      </c>
      <c r="G17" s="145"/>
      <c r="H17" s="16"/>
      <c r="I17" s="12"/>
      <c r="J17" s="11"/>
      <c r="K17" s="142" t="str">
        <f>A17</f>
        <v>kH</v>
      </c>
      <c r="L17" s="142"/>
      <c r="M17" s="166" t="s">
        <v>6</v>
      </c>
      <c r="N17" s="166"/>
      <c r="O17" s="149" t="s">
        <v>7</v>
      </c>
      <c r="P17" s="150"/>
      <c r="Q17" s="25" t="s">
        <v>82</v>
      </c>
      <c r="R17" s="25">
        <v>32.065</v>
      </c>
      <c r="S17" s="25"/>
      <c r="T17" s="25"/>
      <c r="U17" s="25"/>
      <c r="V17" s="25"/>
      <c r="W17" s="25"/>
      <c r="X17" s="25"/>
      <c r="Y17" s="25"/>
      <c r="Z17" s="25"/>
      <c r="AA17" s="25"/>
      <c r="AB17" s="1"/>
    </row>
    <row r="18" spans="1:28" ht="24.75" customHeight="1">
      <c r="A18" s="146"/>
      <c r="B18" s="154">
        <v>7.5</v>
      </c>
      <c r="C18" s="136"/>
      <c r="D18" s="136">
        <v>500</v>
      </c>
      <c r="E18" s="136"/>
      <c r="F18" s="136">
        <v>1300</v>
      </c>
      <c r="G18" s="137"/>
      <c r="H18" s="147" t="s">
        <v>66</v>
      </c>
      <c r="I18" s="148"/>
      <c r="J18" s="148"/>
      <c r="K18" s="136">
        <v>7</v>
      </c>
      <c r="L18" s="136"/>
      <c r="M18" s="136">
        <v>420</v>
      </c>
      <c r="N18" s="136"/>
      <c r="O18" s="136">
        <v>1200</v>
      </c>
      <c r="P18" s="137"/>
      <c r="Q18" s="25" t="s">
        <v>83</v>
      </c>
      <c r="R18" s="25">
        <v>15.9994</v>
      </c>
      <c r="S18" s="25"/>
      <c r="T18" s="25"/>
      <c r="U18" s="25"/>
      <c r="V18" s="25"/>
      <c r="W18" s="25"/>
      <c r="X18" s="25"/>
      <c r="Y18" s="25"/>
      <c r="Z18" s="25"/>
      <c r="AA18" s="25"/>
      <c r="AB18" s="1"/>
    </row>
    <row r="19" spans="1:28" ht="24.75" customHeight="1">
      <c r="A19" s="15" t="s">
        <v>40</v>
      </c>
      <c r="B19" s="139" t="s">
        <v>31</v>
      </c>
      <c r="C19" s="130"/>
      <c r="D19" s="130"/>
      <c r="E19" s="130"/>
      <c r="F19" s="130"/>
      <c r="G19" s="131"/>
      <c r="H19" s="147" t="s">
        <v>65</v>
      </c>
      <c r="I19" s="148"/>
      <c r="J19" s="148"/>
      <c r="K19" s="136">
        <v>1</v>
      </c>
      <c r="L19" s="136"/>
      <c r="M19" s="136"/>
      <c r="N19" s="136"/>
      <c r="O19" s="136"/>
      <c r="P19" s="137"/>
      <c r="Q19" s="25" t="s">
        <v>84</v>
      </c>
      <c r="R19" s="25">
        <v>1.00794</v>
      </c>
      <c r="S19" s="25"/>
      <c r="T19" s="25"/>
      <c r="U19" s="25"/>
      <c r="V19" s="25"/>
      <c r="W19" s="25"/>
      <c r="X19" s="25"/>
      <c r="Y19" s="25"/>
      <c r="Z19" s="25"/>
      <c r="AA19" s="25"/>
      <c r="AB19" s="1"/>
    </row>
    <row r="20" spans="1:28" ht="24.75" customHeight="1">
      <c r="A20" s="146" t="s">
        <v>91</v>
      </c>
      <c r="B20" s="144" t="str">
        <f>B5</f>
        <v>NaHCO3</v>
      </c>
      <c r="C20" s="127"/>
      <c r="D20" s="128" t="str">
        <f>D5</f>
        <v>CaCl2 * 2H2O</v>
      </c>
      <c r="E20" s="128"/>
      <c r="F20" s="129" t="str">
        <f>F5</f>
        <v>MgCl2 * 6H2O</v>
      </c>
      <c r="G20" s="145"/>
      <c r="H20" s="147" t="str">
        <f>"Parametry po "&amp;K19&amp;" dniach:"</f>
        <v>Parametry po 1 dniach:</v>
      </c>
      <c r="I20" s="148"/>
      <c r="J20" s="148"/>
      <c r="K20" s="136">
        <v>6</v>
      </c>
      <c r="L20" s="136"/>
      <c r="M20" s="136">
        <v>400</v>
      </c>
      <c r="N20" s="136"/>
      <c r="O20" s="136">
        <v>1200</v>
      </c>
      <c r="P20" s="137"/>
      <c r="Q20" s="25" t="s">
        <v>86</v>
      </c>
      <c r="R20" s="25">
        <v>40.078</v>
      </c>
      <c r="S20" s="25"/>
      <c r="T20" s="25"/>
      <c r="U20" s="25"/>
      <c r="V20" s="25"/>
      <c r="W20" s="25"/>
      <c r="X20" s="25"/>
      <c r="Y20" s="25"/>
      <c r="Z20" s="25"/>
      <c r="AA20" s="25"/>
      <c r="AB20" s="1"/>
    </row>
    <row r="21" spans="1:28" ht="24.75" customHeight="1" thickBot="1">
      <c r="A21" s="163"/>
      <c r="B21" s="151">
        <f>IF(A17="kH",(B18-B15)/C11*A14,(B18-B15)/C10*A14)</f>
        <v>142.86843537414967</v>
      </c>
      <c r="C21" s="152"/>
      <c r="D21" s="152">
        <f>(D18-D15)/D9*A14</f>
        <v>3992.6105998065677</v>
      </c>
      <c r="E21" s="152"/>
      <c r="F21" s="152">
        <f>(F18-F15)/F9*A14</f>
        <v>39363.032055858755</v>
      </c>
      <c r="G21" s="153"/>
      <c r="H21" s="155" t="s">
        <v>76</v>
      </c>
      <c r="I21" s="156"/>
      <c r="J21" s="156"/>
      <c r="K21" s="152">
        <f>IF(A17="Alk",(K18-K20)/K19/C10*A14,(K18-K20)/K19/C11*A14)</f>
        <v>285.73687074829934</v>
      </c>
      <c r="L21" s="152"/>
      <c r="M21" s="152">
        <f>(M18-M20)/K19/D9*A14</f>
        <v>798.5221199613136</v>
      </c>
      <c r="N21" s="152"/>
      <c r="O21" s="152">
        <f>(O18-O20)/K19/F9*A14</f>
        <v>0</v>
      </c>
      <c r="P21" s="153"/>
      <c r="Q21" s="25" t="s">
        <v>85</v>
      </c>
      <c r="R21" s="25">
        <v>39.0983</v>
      </c>
      <c r="S21" s="25"/>
      <c r="T21" s="25"/>
      <c r="U21" s="25"/>
      <c r="V21" s="25"/>
      <c r="W21" s="25"/>
      <c r="X21" s="25"/>
      <c r="Y21" s="25"/>
      <c r="Z21" s="25"/>
      <c r="AA21" s="25"/>
      <c r="AB21" s="1"/>
    </row>
    <row r="22" spans="17:28" ht="24.75" customHeight="1">
      <c r="Q22" s="25" t="s">
        <v>87</v>
      </c>
      <c r="R22" s="25">
        <f>2*R19+R18</f>
        <v>18.01528</v>
      </c>
      <c r="S22" s="25"/>
      <c r="T22" s="25"/>
      <c r="U22" s="25"/>
      <c r="V22" s="25"/>
      <c r="W22" s="25"/>
      <c r="X22" s="25"/>
      <c r="Y22" s="25"/>
      <c r="Z22" s="25"/>
      <c r="AA22" s="25"/>
      <c r="AB22" s="1"/>
    </row>
    <row r="23" spans="8:28" ht="24.75" customHeight="1">
      <c r="H23" s="13"/>
      <c r="I23" s="13"/>
      <c r="Q23" s="25" t="s">
        <v>22</v>
      </c>
      <c r="R23" s="25">
        <f>4*R18+R17</f>
        <v>96.0626</v>
      </c>
      <c r="S23" s="25"/>
      <c r="T23" s="25"/>
      <c r="U23" s="25"/>
      <c r="V23" s="25"/>
      <c r="W23" s="25"/>
      <c r="X23" s="25"/>
      <c r="Y23" s="25"/>
      <c r="Z23" s="25"/>
      <c r="AA23" s="25"/>
      <c r="AB23" s="1"/>
    </row>
    <row r="24" spans="17:28" ht="24.75" customHeight="1">
      <c r="Q24" s="25" t="s">
        <v>88</v>
      </c>
      <c r="R24" s="25">
        <f>3*R18+R16</f>
        <v>60.0089</v>
      </c>
      <c r="S24" s="25"/>
      <c r="T24" s="25"/>
      <c r="U24" s="25"/>
      <c r="V24" s="25"/>
      <c r="W24" s="25"/>
      <c r="X24" s="25"/>
      <c r="Y24" s="25"/>
      <c r="Z24" s="25"/>
      <c r="AA24" s="25"/>
      <c r="AB24" s="1"/>
    </row>
    <row r="25" spans="17:27" ht="24.75" customHeight="1">
      <c r="Q25" s="25" t="s">
        <v>19</v>
      </c>
      <c r="R25" s="25">
        <f>R24+R19</f>
        <v>61.016839999999995</v>
      </c>
      <c r="S25" s="25"/>
      <c r="T25" s="25"/>
      <c r="U25" s="25"/>
      <c r="V25" s="25"/>
      <c r="W25" s="25"/>
      <c r="X25" s="25"/>
      <c r="Y25" s="25"/>
      <c r="Z25" s="25"/>
      <c r="AA25" s="25"/>
    </row>
    <row r="26" spans="17:27" ht="24.75" customHeight="1">
      <c r="Q26" s="25" t="s">
        <v>10</v>
      </c>
      <c r="R26" s="25">
        <f>R13+R25</f>
        <v>84.00663999999999</v>
      </c>
      <c r="S26" s="25"/>
      <c r="T26" s="25"/>
      <c r="U26" s="25"/>
      <c r="V26" s="25"/>
      <c r="W26" s="25"/>
      <c r="X26" s="25"/>
      <c r="Y26" s="25"/>
      <c r="Z26" s="25"/>
      <c r="AA26" s="25"/>
    </row>
    <row r="27" spans="17:27" ht="24.75" customHeight="1">
      <c r="Q27" s="25" t="s">
        <v>89</v>
      </c>
      <c r="R27" s="25">
        <f>R15+R23+7*R22</f>
        <v>246.47456</v>
      </c>
      <c r="S27" s="25"/>
      <c r="T27" s="25"/>
      <c r="U27" s="25"/>
      <c r="V27" s="25"/>
      <c r="W27" s="25"/>
      <c r="X27" s="25"/>
      <c r="Y27" s="25"/>
      <c r="Z27" s="25"/>
      <c r="AA27" s="25"/>
    </row>
    <row r="28" spans="17:27" ht="24.75" customHeight="1">
      <c r="Q28" s="25" t="s">
        <v>90</v>
      </c>
      <c r="R28" s="25">
        <f>R15+2*R14+6*R22</f>
        <v>203.30268</v>
      </c>
      <c r="S28" s="25"/>
      <c r="T28" s="25"/>
      <c r="U28" s="25"/>
      <c r="V28" s="25"/>
      <c r="W28" s="25"/>
      <c r="X28" s="25"/>
      <c r="Y28" s="25"/>
      <c r="Z28" s="25"/>
      <c r="AA28" s="25"/>
    </row>
    <row r="29" spans="17:27" ht="24.75" customHeight="1">
      <c r="Q29" s="25" t="s">
        <v>15</v>
      </c>
      <c r="R29" s="25">
        <f>R20+R14*2</f>
        <v>110.98400000000001</v>
      </c>
      <c r="S29" s="25"/>
      <c r="T29" s="25"/>
      <c r="U29" s="25"/>
      <c r="V29" s="25"/>
      <c r="W29" s="25"/>
      <c r="X29" s="25"/>
      <c r="Y29" s="25"/>
      <c r="Z29" s="25"/>
      <c r="AA29" s="25"/>
    </row>
    <row r="30" spans="17:27" ht="24.75" customHeight="1">
      <c r="Q30" s="25" t="s">
        <v>11</v>
      </c>
      <c r="R30" s="25">
        <f>R29+2*R22</f>
        <v>147.01456000000002</v>
      </c>
      <c r="S30" s="25"/>
      <c r="T30" s="25"/>
      <c r="U30" s="25"/>
      <c r="V30" s="25"/>
      <c r="W30" s="25"/>
      <c r="X30" s="25"/>
      <c r="Y30" s="25"/>
      <c r="Z30" s="25"/>
      <c r="AA30" s="25"/>
    </row>
    <row r="31" spans="17:27" ht="24.75" customHeight="1">
      <c r="Q31" s="25" t="s">
        <v>21</v>
      </c>
      <c r="R31" s="25">
        <f>R29+6*R22</f>
        <v>219.07568</v>
      </c>
      <c r="S31" s="25"/>
      <c r="T31" s="25"/>
      <c r="U31" s="25"/>
      <c r="V31" s="25"/>
      <c r="W31" s="25"/>
      <c r="X31" s="25"/>
      <c r="Y31" s="25"/>
      <c r="Z31" s="25"/>
      <c r="AA31" s="25"/>
    </row>
    <row r="32" spans="5:27" ht="24.75" customHeight="1">
      <c r="E32" s="1"/>
      <c r="Q32" s="25" t="str">
        <f>D5</f>
        <v>CaCl2 * 2H2O</v>
      </c>
      <c r="R32" s="25">
        <f>VLOOKUP(Q32,Q29:R31,2)</f>
        <v>147.01456000000002</v>
      </c>
      <c r="S32" s="25"/>
      <c r="T32" s="25"/>
      <c r="U32" s="25"/>
      <c r="V32" s="25"/>
      <c r="W32" s="25"/>
      <c r="X32" s="25"/>
      <c r="Y32" s="25"/>
      <c r="Z32" s="25"/>
      <c r="AA32" s="25"/>
    </row>
    <row r="33" spans="4:27" ht="12.75">
      <c r="D33" s="1"/>
      <c r="E33" s="1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</sheetData>
  <sheetProtection password="D2AD" sheet="1"/>
  <mergeCells count="73">
    <mergeCell ref="C12:F12"/>
    <mergeCell ref="J16:N16"/>
    <mergeCell ref="J12:N12"/>
    <mergeCell ref="A20:A21"/>
    <mergeCell ref="B20:C20"/>
    <mergeCell ref="D20:E20"/>
    <mergeCell ref="F20:G20"/>
    <mergeCell ref="H13:K13"/>
    <mergeCell ref="L13:P13"/>
    <mergeCell ref="M17:N17"/>
    <mergeCell ref="O14:P14"/>
    <mergeCell ref="D18:E18"/>
    <mergeCell ref="F18:G18"/>
    <mergeCell ref="F21:G21"/>
    <mergeCell ref="O15:P15"/>
    <mergeCell ref="B19:G19"/>
    <mergeCell ref="O18:P18"/>
    <mergeCell ref="B15:C15"/>
    <mergeCell ref="D15:E15"/>
    <mergeCell ref="F15:G15"/>
    <mergeCell ref="B21:C21"/>
    <mergeCell ref="D21:E21"/>
    <mergeCell ref="K21:L21"/>
    <mergeCell ref="M21:N21"/>
    <mergeCell ref="O21:P21"/>
    <mergeCell ref="B18:C18"/>
    <mergeCell ref="H21:J21"/>
    <mergeCell ref="M18:N18"/>
    <mergeCell ref="H19:J19"/>
    <mergeCell ref="K19:P19"/>
    <mergeCell ref="B16:G16"/>
    <mergeCell ref="H20:J20"/>
    <mergeCell ref="K20:L20"/>
    <mergeCell ref="M20:N20"/>
    <mergeCell ref="O20:P20"/>
    <mergeCell ref="H18:J18"/>
    <mergeCell ref="K18:L18"/>
    <mergeCell ref="O17:P17"/>
    <mergeCell ref="B13:G13"/>
    <mergeCell ref="K17:L17"/>
    <mergeCell ref="A14:A15"/>
    <mergeCell ref="B14:C14"/>
    <mergeCell ref="D14:E14"/>
    <mergeCell ref="F14:G14"/>
    <mergeCell ref="A17:A18"/>
    <mergeCell ref="B17:C17"/>
    <mergeCell ref="D17:E17"/>
    <mergeCell ref="F17:G17"/>
    <mergeCell ref="B7:C7"/>
    <mergeCell ref="D7:E7"/>
    <mergeCell ref="F7:I7"/>
    <mergeCell ref="J7:P7"/>
    <mergeCell ref="A8:A9"/>
    <mergeCell ref="F8:G8"/>
    <mergeCell ref="F9:G9"/>
    <mergeCell ref="B5:C5"/>
    <mergeCell ref="D5:E5"/>
    <mergeCell ref="F5:G5"/>
    <mergeCell ref="H5:I5"/>
    <mergeCell ref="J5:P5"/>
    <mergeCell ref="B6:C6"/>
    <mergeCell ref="D6:E6"/>
    <mergeCell ref="F6:G6"/>
    <mergeCell ref="H6:I6"/>
    <mergeCell ref="J6:P6"/>
    <mergeCell ref="A1:P1"/>
    <mergeCell ref="B4:C4"/>
    <mergeCell ref="D4:E4"/>
    <mergeCell ref="F4:I4"/>
    <mergeCell ref="J4:P4"/>
    <mergeCell ref="E3:I3"/>
    <mergeCell ref="J3:P3"/>
    <mergeCell ref="A3:D3"/>
  </mergeCells>
  <dataValidations count="3">
    <dataValidation type="list" allowBlank="1" showInputMessage="1" showErrorMessage="1" sqref="A20:A21">
      <formula1>"PSU,SG"</formula1>
    </dataValidation>
    <dataValidation type="list" allowBlank="1" showInputMessage="1" showErrorMessage="1" sqref="D5:E5">
      <formula1>$Q$29:$Q$31</formula1>
    </dataValidation>
    <dataValidation type="list" allowBlank="1" showInputMessage="1" showErrorMessage="1" sqref="A17">
      <formula1>"kH,Alk"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showGridLines="0" showRowColHeaders="0" zoomScale="88" zoomScaleNormal="88" zoomScalePageLayoutView="0" workbookViewId="0" topLeftCell="A1">
      <selection activeCell="J4" sqref="J4"/>
    </sheetView>
  </sheetViews>
  <sheetFormatPr defaultColWidth="9.140625" defaultRowHeight="12.75"/>
  <cols>
    <col min="1" max="9" width="21.7109375" style="31" customWidth="1"/>
    <col min="10" max="11" width="22.7109375" style="31" customWidth="1"/>
    <col min="12" max="16384" width="9.140625" style="31" customWidth="1"/>
  </cols>
  <sheetData>
    <row r="1" spans="1:9" ht="24.75" customHeight="1" thickBot="1">
      <c r="A1" s="183" t="s">
        <v>45</v>
      </c>
      <c r="B1" s="184"/>
      <c r="C1" s="184"/>
      <c r="D1" s="184"/>
      <c r="E1" s="184"/>
      <c r="F1" s="184"/>
      <c r="G1" s="184"/>
      <c r="H1" s="184"/>
      <c r="I1" s="185"/>
    </row>
    <row r="2" ht="164.25" customHeight="1" thickBot="1">
      <c r="I2" s="67"/>
    </row>
    <row r="3" spans="1:9" ht="24.75" customHeight="1" thickBot="1">
      <c r="A3" s="186" t="s">
        <v>0</v>
      </c>
      <c r="B3" s="187"/>
      <c r="C3" s="187"/>
      <c r="D3" s="187"/>
      <c r="E3" s="187"/>
      <c r="F3" s="187"/>
      <c r="G3" s="187"/>
      <c r="H3" s="187"/>
      <c r="I3" s="188"/>
    </row>
    <row r="4" spans="1:9" ht="45" customHeight="1">
      <c r="A4" s="32" t="str">
        <f>" Docelowe "&amp;H8&amp;" solanki"</f>
        <v> Docelowe PSU solanki</v>
      </c>
      <c r="B4" s="33" t="s">
        <v>1</v>
      </c>
      <c r="C4" s="33" t="s">
        <v>2</v>
      </c>
      <c r="D4" s="33" t="str">
        <f>"Otrzymane
zasolenie "&amp;H8</f>
        <v>Otrzymane
zasolenie PSU</v>
      </c>
      <c r="E4" s="33" t="s">
        <v>3</v>
      </c>
      <c r="F4" s="34" t="s">
        <v>46</v>
      </c>
      <c r="G4" s="33" t="s">
        <v>51</v>
      </c>
      <c r="H4" s="33" t="s">
        <v>50</v>
      </c>
      <c r="I4" s="35" t="str">
        <f>"Otrzymane "&amp;F8</f>
        <v>Otrzymane kH</v>
      </c>
    </row>
    <row r="5" spans="1:9" ht="45" customHeight="1" thickBot="1">
      <c r="A5" s="55">
        <v>35</v>
      </c>
      <c r="B5" s="56">
        <v>10</v>
      </c>
      <c r="C5" s="56">
        <v>450</v>
      </c>
      <c r="D5" s="57">
        <v>35</v>
      </c>
      <c r="E5" s="36">
        <f>IF(H8="PSU",D5/(C5/B5),((D5-1)/E7)/(C5/B5))</f>
        <v>0.7777777777777778</v>
      </c>
      <c r="F5" s="37">
        <f>IF(H8="PSU",A5*C5/D5-C5,((A5-1)/E7)*C5/((D5-1)/E7)-C5)</f>
        <v>0</v>
      </c>
      <c r="G5" s="58">
        <v>410</v>
      </c>
      <c r="H5" s="58">
        <v>1265</v>
      </c>
      <c r="I5" s="59">
        <v>7</v>
      </c>
    </row>
    <row r="6" spans="1:9" ht="24.75" customHeight="1" thickBot="1">
      <c r="A6" s="192" t="s">
        <v>4</v>
      </c>
      <c r="B6" s="193"/>
      <c r="C6" s="193"/>
      <c r="D6" s="193"/>
      <c r="E6" s="193"/>
      <c r="F6" s="193"/>
      <c r="G6" s="193"/>
      <c r="H6" s="193"/>
      <c r="I6" s="194"/>
    </row>
    <row r="7" spans="1:9" ht="45" customHeight="1">
      <c r="A7" s="195" t="s">
        <v>29</v>
      </c>
      <c r="B7" s="196"/>
      <c r="C7" s="196" t="s">
        <v>5</v>
      </c>
      <c r="D7" s="196"/>
      <c r="E7" s="38">
        <f>0.0264/35</f>
        <v>0.0007542857142857143</v>
      </c>
      <c r="F7" s="168" t="s">
        <v>30</v>
      </c>
      <c r="G7" s="169"/>
      <c r="H7" s="169" t="s">
        <v>40</v>
      </c>
      <c r="I7" s="172"/>
    </row>
    <row r="8" spans="1:9" ht="45" customHeight="1" thickBot="1">
      <c r="A8" s="197">
        <v>100</v>
      </c>
      <c r="B8" s="167"/>
      <c r="C8" s="167">
        <v>10</v>
      </c>
      <c r="D8" s="167"/>
      <c r="E8" s="39"/>
      <c r="F8" s="170" t="s">
        <v>16</v>
      </c>
      <c r="G8" s="171"/>
      <c r="H8" s="171" t="s">
        <v>91</v>
      </c>
      <c r="I8" s="173"/>
    </row>
    <row r="9" spans="1:9" ht="45" customHeight="1">
      <c r="A9" s="40" t="str">
        <f>"Obecne "&amp;H8</f>
        <v>Obecne PSU</v>
      </c>
      <c r="B9" s="41" t="s">
        <v>54</v>
      </c>
      <c r="C9" s="41" t="s">
        <v>55</v>
      </c>
      <c r="D9" s="41" t="str">
        <f>"Obecny poziom "&amp;F8</f>
        <v>Obecny poziom kH</v>
      </c>
      <c r="E9" s="42" t="str">
        <f>"Docelowe "&amp;H8</f>
        <v>Docelowe PSU</v>
      </c>
      <c r="F9" s="174" t="s">
        <v>47</v>
      </c>
      <c r="G9" s="175"/>
      <c r="H9" s="175"/>
      <c r="I9" s="176"/>
    </row>
    <row r="10" spans="1:9" ht="45" customHeight="1" thickBot="1">
      <c r="A10" s="60">
        <v>36</v>
      </c>
      <c r="B10" s="61">
        <v>440</v>
      </c>
      <c r="C10" s="61">
        <v>1350</v>
      </c>
      <c r="D10" s="62">
        <v>7</v>
      </c>
      <c r="E10" s="63">
        <v>35</v>
      </c>
      <c r="F10" s="177">
        <f>IF(H8="PSU",(C8*E10)/E5+(A8-C8)*(E10-A10)/E5,(C8*((E10-1)/E7))/E5+(A8-C8)*(((E10-1)/E7)-((A10-1)/E7))/E5)</f>
        <v>334.2857142857143</v>
      </c>
      <c r="G10" s="178"/>
      <c r="H10" s="178"/>
      <c r="I10" s="179"/>
    </row>
    <row r="11" spans="1:9" ht="45" customHeight="1">
      <c r="A11" s="189" t="s">
        <v>48</v>
      </c>
      <c r="B11" s="190"/>
      <c r="C11" s="190"/>
      <c r="D11" s="190"/>
      <c r="E11" s="191"/>
      <c r="F11" s="180" t="s">
        <v>49</v>
      </c>
      <c r="G11" s="181"/>
      <c r="H11" s="181"/>
      <c r="I11" s="182"/>
    </row>
    <row r="12" spans="1:9" ht="45" customHeight="1">
      <c r="A12" s="43"/>
      <c r="B12" s="41" t="s">
        <v>52</v>
      </c>
      <c r="C12" s="41" t="s">
        <v>53</v>
      </c>
      <c r="D12" s="41" t="str">
        <f>"Poziom "&amp;F8</f>
        <v>Poziom kH</v>
      </c>
      <c r="E12" s="39"/>
      <c r="F12" s="44" t="str">
        <f>H8</f>
        <v>PSU</v>
      </c>
      <c r="G12" s="45" t="s">
        <v>52</v>
      </c>
      <c r="H12" s="45" t="s">
        <v>53</v>
      </c>
      <c r="I12" s="46" t="str">
        <f>"Poziom "&amp;F8</f>
        <v>Poziom kH</v>
      </c>
    </row>
    <row r="13" spans="1:9" ht="45" customHeight="1" thickBot="1">
      <c r="A13" s="47"/>
      <c r="B13" s="48">
        <f>(((A8-C8)*B10)+(C8*G13))/A8</f>
        <v>426.4571428571428</v>
      </c>
      <c r="C13" s="48">
        <f>(((A8-C8)*C10)+(C8*H13))/A8</f>
        <v>1308.9714285714285</v>
      </c>
      <c r="D13" s="49">
        <f>(((A8-C8)*D10)+(C8*I13))/A8</f>
        <v>6.82</v>
      </c>
      <c r="E13" s="50"/>
      <c r="F13" s="51">
        <f>IF(H8="PSU",(F10*E5)/C8,1+(F10*E5)/C8*E7)</f>
        <v>26</v>
      </c>
      <c r="G13" s="52">
        <f>(G5*(F10/C8))/(C5/B5)</f>
        <v>304.57142857142856</v>
      </c>
      <c r="H13" s="52">
        <f>(H5*(F10/C8))/(C5/B5)</f>
        <v>939.7142857142858</v>
      </c>
      <c r="I13" s="53">
        <f>(I5*(F10/C8))/(C5/B5)</f>
        <v>5.2</v>
      </c>
    </row>
    <row r="14" ht="45" customHeight="1"/>
    <row r="15" ht="45" customHeight="1">
      <c r="D15" s="54"/>
    </row>
    <row r="16" ht="45" customHeight="1"/>
  </sheetData>
  <sheetProtection password="D2AD" sheet="1"/>
  <mergeCells count="15">
    <mergeCell ref="F10:I10"/>
    <mergeCell ref="F11:I11"/>
    <mergeCell ref="A1:I1"/>
    <mergeCell ref="A3:I3"/>
    <mergeCell ref="A11:E11"/>
    <mergeCell ref="A6:I6"/>
    <mergeCell ref="A7:B7"/>
    <mergeCell ref="A8:B8"/>
    <mergeCell ref="C7:D7"/>
    <mergeCell ref="C8:D8"/>
    <mergeCell ref="F7:G7"/>
    <mergeCell ref="F8:G8"/>
    <mergeCell ref="H7:I7"/>
    <mergeCell ref="H8:I8"/>
    <mergeCell ref="F9:I9"/>
  </mergeCells>
  <dataValidations count="2">
    <dataValidation type="list" allowBlank="1" showInputMessage="1" showErrorMessage="1" sqref="H8">
      <formula1>"PSU,SG"</formula1>
    </dataValidation>
    <dataValidation type="list" allowBlank="1" showInputMessage="1" showErrorMessage="1" sqref="F8">
      <formula1>"kH,Alk"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RowColHeaders="0" zoomScale="88" zoomScaleNormal="88" zoomScalePageLayoutView="0" workbookViewId="0" topLeftCell="A1">
      <selection activeCell="A3" sqref="A3:I3"/>
    </sheetView>
  </sheetViews>
  <sheetFormatPr defaultColWidth="9.140625" defaultRowHeight="12.75"/>
  <cols>
    <col min="1" max="16" width="21.7109375" style="0" customWidth="1"/>
  </cols>
  <sheetData>
    <row r="1" spans="1:9" ht="24.75" customHeight="1" thickBot="1">
      <c r="A1" s="124" t="s">
        <v>56</v>
      </c>
      <c r="B1" s="125"/>
      <c r="C1" s="125"/>
      <c r="D1" s="125"/>
      <c r="E1" s="125"/>
      <c r="F1" s="125"/>
      <c r="G1" s="125"/>
      <c r="H1" s="125"/>
      <c r="I1" s="126"/>
    </row>
    <row r="2" ht="164.25" customHeight="1" thickBot="1">
      <c r="I2" s="66"/>
    </row>
    <row r="3" spans="1:9" ht="24.75" customHeight="1" thickBot="1">
      <c r="A3" s="198"/>
      <c r="B3" s="199"/>
      <c r="C3" s="199"/>
      <c r="D3" s="199"/>
      <c r="E3" s="199"/>
      <c r="F3" s="199"/>
      <c r="G3" s="199"/>
      <c r="H3" s="199"/>
      <c r="I3" s="200"/>
    </row>
    <row r="4" spans="1:9" ht="24.75" customHeight="1" thickBot="1">
      <c r="A4" s="201" t="s">
        <v>57</v>
      </c>
      <c r="B4" s="202"/>
      <c r="C4" s="203"/>
      <c r="D4" s="204" t="s">
        <v>60</v>
      </c>
      <c r="E4" s="205"/>
      <c r="F4" s="206"/>
      <c r="G4" s="207" t="s">
        <v>64</v>
      </c>
      <c r="H4" s="208"/>
      <c r="I4" s="209"/>
    </row>
    <row r="5" spans="1:9" ht="24.75" customHeight="1">
      <c r="A5" s="75" t="s">
        <v>16</v>
      </c>
      <c r="B5" s="76" t="s">
        <v>59</v>
      </c>
      <c r="C5" s="77" t="s">
        <v>58</v>
      </c>
      <c r="D5" s="78" t="s">
        <v>41</v>
      </c>
      <c r="E5" s="79" t="s">
        <v>62</v>
      </c>
      <c r="F5" s="89" t="s">
        <v>61</v>
      </c>
      <c r="G5" s="92" t="s">
        <v>63</v>
      </c>
      <c r="H5" s="93" t="s">
        <v>74</v>
      </c>
      <c r="I5" s="80" t="s">
        <v>75</v>
      </c>
    </row>
    <row r="6" spans="1:9" ht="24.75" customHeight="1">
      <c r="A6" s="81">
        <v>7</v>
      </c>
      <c r="B6" s="74">
        <f>A6*0.35714285714286</f>
        <v>2.50000000000002</v>
      </c>
      <c r="C6" s="82">
        <f>A6*17.857142857143</f>
        <v>125.000000000001</v>
      </c>
      <c r="D6" s="64">
        <v>1.0264</v>
      </c>
      <c r="E6" s="74">
        <f>(D6-1)/(0.0264/35)</f>
        <v>34.99999999999997</v>
      </c>
      <c r="F6" s="90">
        <f>(200*(POWER(2,3683/5439))*(POWER(5,1374/1813))*POWER(E6,5000/5439))/POWER(933,5000/5439)</f>
        <v>52.94943961356572</v>
      </c>
      <c r="G6" s="94">
        <v>1000</v>
      </c>
      <c r="H6" s="95">
        <f>G6/3.78541178</f>
        <v>264.1720526372959</v>
      </c>
      <c r="I6" s="96">
        <f>G6/4.546</f>
        <v>219.97360316761987</v>
      </c>
    </row>
    <row r="7" spans="1:9" ht="24.75" customHeight="1">
      <c r="A7" s="83">
        <f>B7*2.8</f>
        <v>7</v>
      </c>
      <c r="B7" s="84">
        <v>2.5</v>
      </c>
      <c r="C7" s="82">
        <f>B7*50</f>
        <v>125</v>
      </c>
      <c r="D7" s="71">
        <f>1+(E7*(0.0264/35))</f>
        <v>1.0264</v>
      </c>
      <c r="E7" s="65">
        <v>35</v>
      </c>
      <c r="F7" s="90">
        <f>(200*(POWER(2,3683/5439))*(POWER(5,1374/1813))*POWER(E7,5000/5439))/POWER(933,5000/5439)</f>
        <v>52.94943961356572</v>
      </c>
      <c r="G7" s="97">
        <f>H7*3.78541178</f>
        <v>999.9922299226</v>
      </c>
      <c r="H7" s="98">
        <v>264.17</v>
      </c>
      <c r="I7" s="96">
        <f>G7/4.546</f>
        <v>219.9718939556973</v>
      </c>
    </row>
    <row r="8" spans="1:9" ht="24.75" customHeight="1" thickBot="1">
      <c r="A8" s="85">
        <f>C8*0.056</f>
        <v>7</v>
      </c>
      <c r="B8" s="86">
        <f>C8*0.02</f>
        <v>2.5</v>
      </c>
      <c r="C8" s="87">
        <v>125</v>
      </c>
      <c r="D8" s="72">
        <f>1+(E8*(0.0264/35))</f>
        <v>1.0264003039340999</v>
      </c>
      <c r="E8" s="73">
        <f>POWER(F8,1.0878)*0.4665</f>
        <v>35.0004029429354</v>
      </c>
      <c r="F8" s="91">
        <v>52.95</v>
      </c>
      <c r="G8" s="99">
        <f>I8*4.546</f>
        <v>999.9836200000001</v>
      </c>
      <c r="H8" s="100">
        <f>G8/3.78541178</f>
        <v>264.16772549907375</v>
      </c>
      <c r="I8" s="101">
        <v>219.97</v>
      </c>
    </row>
    <row r="11" spans="7:8" ht="12.75">
      <c r="G11" s="1"/>
      <c r="H11" s="1"/>
    </row>
    <row r="12" ht="12.75">
      <c r="G12" s="1"/>
    </row>
    <row r="13" ht="12.75">
      <c r="I13" s="1"/>
    </row>
    <row r="14" ht="12.75">
      <c r="I14" s="1"/>
    </row>
  </sheetData>
  <sheetProtection password="D2AD" sheet="1"/>
  <mergeCells count="5">
    <mergeCell ref="A1:I1"/>
    <mergeCell ref="A3:I3"/>
    <mergeCell ref="A4:C4"/>
    <mergeCell ref="D4:F4"/>
    <mergeCell ref="G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RowColHeaders="0" tabSelected="1" zoomScale="88" zoomScaleNormal="88" zoomScalePageLayoutView="0" workbookViewId="0" topLeftCell="A1">
      <selection activeCell="A6" sqref="A6:A8"/>
    </sheetView>
  </sheetViews>
  <sheetFormatPr defaultColWidth="9.140625" defaultRowHeight="12.75"/>
  <cols>
    <col min="1" max="16" width="21.7109375" style="31" customWidth="1"/>
    <col min="17" max="16384" width="9.140625" style="31" customWidth="1"/>
  </cols>
  <sheetData>
    <row r="1" spans="1:9" ht="24.75" customHeight="1" thickBot="1">
      <c r="A1" s="183" t="s">
        <v>93</v>
      </c>
      <c r="B1" s="184"/>
      <c r="C1" s="184"/>
      <c r="D1" s="184"/>
      <c r="E1" s="184"/>
      <c r="F1" s="184"/>
      <c r="G1" s="184"/>
      <c r="H1" s="184"/>
      <c r="I1" s="185"/>
    </row>
    <row r="2" ht="164.25" customHeight="1" thickBot="1">
      <c r="I2" s="67"/>
    </row>
    <row r="3" spans="1:9" ht="24.75" customHeight="1" thickBot="1">
      <c r="A3" s="210"/>
      <c r="B3" s="211"/>
      <c r="C3" s="211"/>
      <c r="D3" s="211"/>
      <c r="E3" s="211"/>
      <c r="F3" s="211"/>
      <c r="G3" s="211"/>
      <c r="H3" s="211"/>
      <c r="I3" s="212"/>
    </row>
    <row r="4" spans="1:9" ht="24.75" customHeight="1" thickBot="1">
      <c r="A4" s="213" t="s">
        <v>94</v>
      </c>
      <c r="B4" s="214"/>
      <c r="C4" s="215"/>
      <c r="D4" s="216" t="s">
        <v>95</v>
      </c>
      <c r="E4" s="217"/>
      <c r="F4" s="218"/>
      <c r="G4" s="237" t="s">
        <v>100</v>
      </c>
      <c r="H4" s="238"/>
      <c r="I4" s="239"/>
    </row>
    <row r="5" spans="1:9" ht="24.75" customHeight="1">
      <c r="A5" s="108" t="s">
        <v>96</v>
      </c>
      <c r="B5" s="109" t="s">
        <v>97</v>
      </c>
      <c r="C5" s="110" t="s">
        <v>98</v>
      </c>
      <c r="D5" s="111" t="s">
        <v>99</v>
      </c>
      <c r="E5" s="231" t="s">
        <v>103</v>
      </c>
      <c r="F5" s="232"/>
      <c r="G5" s="112" t="s">
        <v>101</v>
      </c>
      <c r="H5" s="243" t="s">
        <v>102</v>
      </c>
      <c r="I5" s="244"/>
    </row>
    <row r="6" spans="1:9" ht="24.75" customHeight="1">
      <c r="A6" s="219">
        <v>48.5</v>
      </c>
      <c r="B6" s="222">
        <v>45</v>
      </c>
      <c r="C6" s="225">
        <v>12</v>
      </c>
      <c r="D6" s="228">
        <v>2</v>
      </c>
      <c r="E6" s="233"/>
      <c r="F6" s="234"/>
      <c r="G6" s="240">
        <f>A6*B6*C6/1000</f>
        <v>26.19</v>
      </c>
      <c r="H6" s="245">
        <f>G6*D6</f>
        <v>52.38</v>
      </c>
      <c r="I6" s="246"/>
    </row>
    <row r="7" spans="1:9" ht="24.75" customHeight="1">
      <c r="A7" s="220"/>
      <c r="B7" s="223"/>
      <c r="C7" s="226"/>
      <c r="D7" s="229"/>
      <c r="E7" s="233"/>
      <c r="F7" s="234"/>
      <c r="G7" s="241"/>
      <c r="H7" s="247"/>
      <c r="I7" s="248"/>
    </row>
    <row r="8" spans="1:9" ht="36.75" customHeight="1" thickBot="1">
      <c r="A8" s="221"/>
      <c r="B8" s="224"/>
      <c r="C8" s="227"/>
      <c r="D8" s="230"/>
      <c r="E8" s="235"/>
      <c r="F8" s="236"/>
      <c r="G8" s="242"/>
      <c r="H8" s="249"/>
      <c r="I8" s="250"/>
    </row>
    <row r="11" spans="7:8" ht="12.75">
      <c r="G11" s="113"/>
      <c r="H11" s="113"/>
    </row>
    <row r="12" spans="4:7" ht="12.75">
      <c r="D12" s="113"/>
      <c r="G12" s="113"/>
    </row>
    <row r="13" spans="4:9" ht="12.75">
      <c r="D13" s="113"/>
      <c r="I13" s="113"/>
    </row>
    <row r="14" ht="12.75">
      <c r="I14" s="113"/>
    </row>
  </sheetData>
  <sheetProtection password="D2AD" sheet="1" objects="1" scenarios="1"/>
  <mergeCells count="13">
    <mergeCell ref="G6:G8"/>
    <mergeCell ref="H5:I5"/>
    <mergeCell ref="H6:I8"/>
    <mergeCell ref="A1:I1"/>
    <mergeCell ref="A3:I3"/>
    <mergeCell ref="A4:C4"/>
    <mergeCell ref="D4:F4"/>
    <mergeCell ref="A6:A8"/>
    <mergeCell ref="B6:B8"/>
    <mergeCell ref="C6:C8"/>
    <mergeCell ref="D6:D8"/>
    <mergeCell ref="E5:F8"/>
    <mergeCell ref="G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P.S</dc:creator>
  <cp:keywords>Balling;Zasolenie</cp:keywords>
  <dc:description/>
  <cp:lastModifiedBy>Bart</cp:lastModifiedBy>
  <dcterms:created xsi:type="dcterms:W3CDTF">2004-10-10T09:39:04Z</dcterms:created>
  <dcterms:modified xsi:type="dcterms:W3CDTF">2016-02-19T20:21:07Z</dcterms:modified>
  <cp:category/>
  <cp:version/>
  <cp:contentType/>
  <cp:contentStatus/>
</cp:coreProperties>
</file>